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2\1 Enero\"/>
    </mc:Choice>
  </mc:AlternateContent>
  <xr:revisionPtr revIDLastSave="0" documentId="13_ncr:1_{E2EA60B4-6C99-4200-BC03-C1F0A60E99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/>
  <c r="E57" i="1"/>
  <c r="G13" i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D17" i="1" l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<sst xmlns="http://schemas.openxmlformats.org/spreadsheetml/2006/main" count="308" uniqueCount="133">
  <si>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</si>
  <si>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</si>
  <si>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</si>
  <si>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</si>
  <si>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</si>
  <si>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</si>
  <si>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</si>
  <si>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</si>
  <si>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</si>
  <si>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</si>
  <si>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</si>
  <si>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</si>
  <si>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</si>
  <si>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</si>
  <si>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</si>
  <si>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</si>
  <si>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</si>
  <si>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</si>
  <si>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</si>
  <si>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</si>
  <si>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</si>
  <si>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</si>
  <si>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</si>
  <si>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</si>
  <si>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</si>
  <si>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</si>
  <si>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</si>
  <si>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</si>
  <si>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</si>
  <si>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</si>
  <si>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</si>
  <si>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</si>
  <si>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</si>
  <si>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</si>
  <si>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</si>
  <si>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</si>
  <si>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</si>
  <si>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</si>
  <si>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</si>
  <si>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</si>
  <si>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</si>
  <si>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</si>
  <si>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</si>
  <si>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</si>
  <si>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</si>
  <si>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</si>
  <si>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</si>
  <si>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</si>
  <si>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</si>
  <si>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</si>
  <si>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</si>
  <si>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</si>
  <si>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</si>
  <si>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</si>
  <si>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</si>
  <si>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</si>
  <si>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</si>
  <si>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</si>
  <si>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</si>
  <si>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</si>
  <si>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</si>
  <si>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</si>
  <si>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</si>
  <si>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</si>
  <si>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</si>
  <si>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</si>
  <si>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</si>
  <si>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</si>
  <si>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</si>
  <si>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</si>
  <si>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</si>
  <si>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</si>
  <si>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</si>
  <si>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</si>
  <si>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</si>
  <si>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</si>
  <si>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</si>
  <si>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</si>
  <si>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</si>
  <si>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</si>
  <si>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</si>
  <si>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</si>
  <si>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</si>
  <si>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</si>
  <si>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</si>
  <si>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</si>
  <si>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</si>
  <si>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</si>
  <si>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</si>
  <si>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</si>
  <si>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</si>
  <si>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</si>
  <si>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</si>
  <si>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</si>
  <si>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</si>
  <si>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</si>
  <si>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</si>
  <si>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</si>
  <si>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</si>
  <si>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</si>
  <si>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</si>
  <si>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</si>
  <si>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</si>
  <si>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</si>
  <si>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</si>
  <si>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</si>
  <si>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</si>
  <si>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</si>
  <si>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</si>
  <si>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</si>
  <si>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</si>
  <si>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</si>
  <si>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</si>
  <si>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</si>
  <si>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</si>
  <si>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</si>
  <si>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</si>
  <si>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</si>
  <si>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</si>
  <si>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</si>
  <si>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</si>
  <si>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</si>
  <si>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</si>
  <si>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</si>
  <si>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</si>
  <si>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DICIEMBRE 2021</t>
  </si>
  <si>
    <t>Diciembre</t>
  </si>
  <si>
    <t>Enero - Diciembre</t>
  </si>
  <si>
    <t>Grafico N° 11: Generación de energía eléctrica por Región, al mes de diciembre 2021</t>
  </si>
  <si>
    <t>Enero -Diciembre</t>
  </si>
  <si>
    <t>Cuadro N° 8: Producción de energía eléctrica nacional por zona del país, al mes de diciembre</t>
  </si>
  <si>
    <t>3.2 Producción de energía eléctrica (GWh) por origen y zona al mes de diciembre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</si>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</sst>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9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63" xfId="0" applyNumberFormat="1" applyFont="1" applyFill="1" applyBorder="1" applyAlignment="1">
      <alignment vertical="center"/>
    </xf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4" xfId="0" applyNumberFormat="1" applyFon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167" fontId="0" fillId="68" borderId="60" xfId="0" applyNumberFormat="1" applyFill="1" applyBorder="1"/>
    <xf numFmtId="167" fontId="0" fillId="68" borderId="82" xfId="0" applyNumberFormat="1" applyFill="1" applyBorder="1"/>
    <xf numFmtId="182" fontId="99" fillId="0" borderId="78" xfId="0" applyNumberFormat="1" applyFont="1" applyBorder="1"/>
    <xf numFmtId="182" fontId="99" fillId="0" borderId="108" xfId="0" applyNumberFormat="1" applyFont="1" applyBorder="1"/>
    <xf numFmtId="4" fontId="0" fillId="68" borderId="27" xfId="0" applyNumberFormat="1" applyFont="1" applyFill="1" applyBorder="1" applyAlignment="1">
      <alignment vertical="center"/>
    </xf>
    <xf numFmtId="3" fontId="0" fillId="68" borderId="60" xfId="0" applyNumberFormat="1" applyFill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78" fontId="96" fillId="68" borderId="104" xfId="33743" applyNumberFormat="1" applyFont="1" applyFill="1" applyBorder="1" applyAlignment="1">
      <alignment horizontal="center"/>
    </xf>
    <xf numFmtId="178" fontId="96" fillId="0" borderId="32" xfId="33743" applyNumberFormat="1" applyFont="1" applyBorder="1" applyAlignment="1">
      <alignment horizontal="center"/>
    </xf>
    <xf numFmtId="167" fontId="0" fillId="68" borderId="30" xfId="0" applyNumberFormat="1" applyFill="1" applyBorder="1"/>
    <xf numFmtId="167" fontId="0" fillId="68" borderId="35" xfId="0" applyNumberFormat="1" applyFill="1" applyBorder="1"/>
    <xf numFmtId="167" fontId="0" fillId="68" borderId="0" xfId="0" applyNumberFormat="1" applyFont="1" applyFill="1" applyBorder="1" applyAlignment="1">
      <alignment vertical="center"/>
    </xf>
    <xf numFmtId="167" fontId="0" fillId="68" borderId="61" xfId="0" applyNumberFormat="1" applyFont="1" applyFill="1" applyBorder="1" applyAlignment="1">
      <alignment vertic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Diciembre 2021</a:t>
            </a:r>
          </a:p>
          <a:p>
            <a:pPr>
              <a:defRPr sz="800" b="1"/>
            </a:pPr>
            <a:r>
              <a:rPr lang="es-PE" sz="800" b="1"/>
              <a:t>Total : 4 984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62.383612576533395</c:v>
                </c:pt>
                <c:pt idx="1">
                  <c:v>121.09760088385892</c:v>
                </c:pt>
                <c:pt idx="2">
                  <c:v>2988.3094076475086</c:v>
                </c:pt>
                <c:pt idx="3">
                  <c:v>1593.7806657022893</c:v>
                </c:pt>
                <c:pt idx="4">
                  <c:v>217.99389205000008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2489.6272800530878</c:v>
                </c:pt>
                <c:pt idx="2" formatCode="_ * #,##0.00_ ;_ * \-#,##0.00_ ;_ * &quot;-&quot;??_ ;_ @_ ">
                  <c:v>6.4619999999999999E-3</c:v>
                </c:pt>
                <c:pt idx="3">
                  <c:v>1492.6862117648511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56.166925627500007</c:v>
                </c:pt>
                <c:pt idx="1">
                  <c:v>385.46268621298071</c:v>
                </c:pt>
                <c:pt idx="2">
                  <c:v>73.566040087499999</c:v>
                </c:pt>
                <c:pt idx="3">
                  <c:v>70.837868891782364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34.897501823333329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3982.3199538179388</c:v>
                </c:pt>
                <c:pt idx="1">
                  <c:v>586.03352081976311</c:v>
                </c:pt>
                <c:pt idx="2">
                  <c:v>380.3142023991573</c:v>
                </c:pt>
                <c:pt idx="3">
                  <c:v>34.897501823333329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CALLAO</c:v>
                </c:pt>
                <c:pt idx="5">
                  <c:v>ANCASH</c:v>
                </c:pt>
                <c:pt idx="6">
                  <c:v>CUSCO</c:v>
                </c:pt>
                <c:pt idx="7">
                  <c:v>CAJAMARCA</c:v>
                </c:pt>
                <c:pt idx="8">
                  <c:v>PIURA</c:v>
                </c:pt>
                <c:pt idx="9">
                  <c:v>ICA</c:v>
                </c:pt>
                <c:pt idx="10">
                  <c:v>LA LIBERTAD</c:v>
                </c:pt>
                <c:pt idx="11">
                  <c:v>AREQUIPA</c:v>
                </c:pt>
                <c:pt idx="12">
                  <c:v>PUNO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LAMBAYEQUE</c:v>
                </c:pt>
                <c:pt idx="18">
                  <c:v>AMAZONAS</c:v>
                </c:pt>
                <c:pt idx="19">
                  <c:v>UCAYALI</c:v>
                </c:pt>
                <c:pt idx="20">
                  <c:v>SAN MARTÍN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1822.4932102464647</c:v>
                </c:pt>
                <c:pt idx="1">
                  <c:v>909.40861976894178</c:v>
                </c:pt>
                <c:pt idx="2">
                  <c:v>333.60478021666654</c:v>
                </c:pt>
                <c:pt idx="3">
                  <c:v>298.74902599315215</c:v>
                </c:pt>
                <c:pt idx="4">
                  <c:v>272.36238767331088</c:v>
                </c:pt>
                <c:pt idx="5">
                  <c:v>253.68201849908905</c:v>
                </c:pt>
                <c:pt idx="6">
                  <c:v>198.88447486666664</c:v>
                </c:pt>
                <c:pt idx="7">
                  <c:v>145.3875608570001</c:v>
                </c:pt>
                <c:pt idx="8">
                  <c:v>118.86061248833867</c:v>
                </c:pt>
                <c:pt idx="9">
                  <c:v>103.59825356666668</c:v>
                </c:pt>
                <c:pt idx="10">
                  <c:v>102.06918505193394</c:v>
                </c:pt>
                <c:pt idx="11">
                  <c:v>100.90552755642985</c:v>
                </c:pt>
                <c:pt idx="12">
                  <c:v>92.706936084999953</c:v>
                </c:pt>
                <c:pt idx="13">
                  <c:v>88.337606374480004</c:v>
                </c:pt>
                <c:pt idx="14">
                  <c:v>71.631008717499981</c:v>
                </c:pt>
                <c:pt idx="15">
                  <c:v>34.897501823333329</c:v>
                </c:pt>
                <c:pt idx="16">
                  <c:v>14.2034110775</c:v>
                </c:pt>
                <c:pt idx="17">
                  <c:v>5.0910858750000019</c:v>
                </c:pt>
                <c:pt idx="18">
                  <c:v>4.6758867440000005</c:v>
                </c:pt>
                <c:pt idx="19">
                  <c:v>3.6823050458333331</c:v>
                </c:pt>
                <c:pt idx="20">
                  <c:v>3.1293233828845697</c:v>
                </c:pt>
                <c:pt idx="21">
                  <c:v>3.0519786</c:v>
                </c:pt>
                <c:pt idx="22">
                  <c:v>1.1005480000000003</c:v>
                </c:pt>
                <c:pt idx="23">
                  <c:v>0.89892774999999991</c:v>
                </c:pt>
                <c:pt idx="24">
                  <c:v>0.15300259999999999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2848.9705905822352</c:v>
                </c:pt>
                <c:pt idx="1">
                  <c:v>1821.9884630343395</c:v>
                </c:pt>
                <c:pt idx="2">
                  <c:v>148.13973999999999</c:v>
                </c:pt>
                <c:pt idx="3">
                  <c:v>73.797128999999998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3050.6930202240419</c:v>
                </c:pt>
                <c:pt idx="1">
                  <c:v>1714.8782665861481</c:v>
                </c:pt>
                <c:pt idx="2">
                  <c:v>144.42785196250009</c:v>
                </c:pt>
                <c:pt idx="3">
                  <c:v>73.566040087499999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177.69639001876709</c:v>
                </c:pt>
                <c:pt idx="1">
                  <c:v>182.62908759470665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4715.1995325978078</c:v>
                </c:pt>
                <c:pt idx="1">
                  <c:v>4800.9360912654829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2617.5557946772351</c:v>
                </c:pt>
                <c:pt idx="1">
                  <c:v>2812.1494249315419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1767.1388520343394</c:v>
                </c:pt>
                <c:pt idx="1">
                  <c:v>1663.3756918850568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231.41479590500003</c:v>
                </c:pt>
                <c:pt idx="1">
                  <c:v>238.54359529250016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276.78647999999998</c:v>
                </c:pt>
                <c:pt idx="1">
                  <c:v>269.49646675109125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3050.6930202240419</c:v>
                </c:pt>
                <c:pt idx="1">
                  <c:v>1605.4224700033667</c:v>
                </c:pt>
                <c:pt idx="2">
                  <c:v>57.685007800359017</c:v>
                </c:pt>
                <c:pt idx="3">
                  <c:v>51.502574701091163</c:v>
                </c:pt>
                <c:pt idx="4">
                  <c:v>144.42785196250009</c:v>
                </c:pt>
                <c:pt idx="5">
                  <c:v>73.566040087499999</c:v>
                </c:pt>
                <c:pt idx="6" formatCode="#,##0.0">
                  <c:v>0.2682140813305679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4616.1094426165764</c:v>
                </c:pt>
                <c:pt idx="1">
                  <c:v>4714.0687121090978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276.78647999999998</c:v>
                </c:pt>
                <c:pt idx="1">
                  <c:v>269.49646675109125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780653961158E-2"/>
                  <c:y val="-3.5285795421093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58280284038E-2"/>
                  <c:y val="3.355362147417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5.6569051207609328E-2</c:v>
                </c:pt>
                <c:pt idx="1">
                  <c:v>5.4077042654979153E-2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2848.9705905822352</c:v>
                </c:pt>
                <c:pt idx="1">
                  <c:v>1649.6829580000001</c:v>
                </c:pt>
                <c:pt idx="2">
                  <c:v>117.21089403434144</c:v>
                </c:pt>
                <c:pt idx="3" formatCode="#,##0.00">
                  <c:v>0.245</c:v>
                </c:pt>
                <c:pt idx="4">
                  <c:v>54.849610999999982</c:v>
                </c:pt>
                <c:pt idx="5">
                  <c:v>148.13973999999999</c:v>
                </c:pt>
                <c:pt idx="6">
                  <c:v>73.797128999999998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3050.6930202240419</c:v>
                </c:pt>
                <c:pt idx="1">
                  <c:v>1605.4224700033667</c:v>
                </c:pt>
                <c:pt idx="2">
                  <c:v>57.685007800359017</c:v>
                </c:pt>
                <c:pt idx="3" formatCode="#,##0.00">
                  <c:v>0.2682140813305679</c:v>
                </c:pt>
                <c:pt idx="4">
                  <c:v>51.502574701091163</c:v>
                </c:pt>
                <c:pt idx="5">
                  <c:v>144.42785196250009</c:v>
                </c:pt>
                <c:pt idx="6">
                  <c:v>73.566040087499999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88.260926335000079</c:v>
                </c:pt>
                <c:pt idx="1">
                  <c:v>175.60305395797349</c:v>
                </c:pt>
                <c:pt idx="2">
                  <c:v>0</c:v>
                </c:pt>
                <c:pt idx="3">
                  <c:v>116.45022210618373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diciembre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63894" y="95371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3948" y="3313521"/>
          <a:ext cx="4118827" cy="5701542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B2" sqref="B2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0"/>
      <c r="D8" s="130"/>
      <c r="E8" s="130"/>
      <c r="F8" s="130"/>
      <c r="G8" s="130"/>
      <c r="H8" s="9"/>
      <c r="I8" s="9"/>
      <c r="J8" s="9"/>
      <c r="K8" s="9"/>
    </row>
    <row r="9" spans="2:19" s="1" customFormat="1" ht="26.4">
      <c r="B9" s="8"/>
      <c r="C9" s="180" t="s">
        <v>62</v>
      </c>
      <c r="D9" s="181" t="s">
        <v>69</v>
      </c>
      <c r="E9" s="182" t="s">
        <v>70</v>
      </c>
      <c r="F9" s="183" t="s">
        <v>71</v>
      </c>
      <c r="G9" s="184" t="s">
        <v>72</v>
      </c>
      <c r="H9" s="9"/>
      <c r="I9" s="9"/>
      <c r="J9" s="9"/>
      <c r="K9" s="9"/>
    </row>
    <row r="10" spans="2:19" s="1" customFormat="1" ht="13.8" thickBot="1">
      <c r="B10" s="8"/>
      <c r="C10" s="185" t="s">
        <v>63</v>
      </c>
      <c r="D10" s="186"/>
      <c r="E10" s="187"/>
      <c r="F10" s="188"/>
      <c r="G10" s="189"/>
      <c r="H10" s="9"/>
      <c r="I10" s="9"/>
      <c r="J10" s="9"/>
      <c r="K10" s="9"/>
    </row>
    <row r="11" spans="2:19" s="1" customFormat="1" ht="13.8" thickTop="1">
      <c r="B11" s="8"/>
      <c r="C11" s="131"/>
      <c r="D11" s="132"/>
      <c r="E11" s="133"/>
      <c r="F11" s="134"/>
      <c r="G11" s="135"/>
      <c r="H11" s="9"/>
      <c r="I11" s="9"/>
      <c r="J11" s="9"/>
      <c r="K11" s="9"/>
      <c r="Q11" s="377" t="s">
        <v>64</v>
      </c>
      <c r="R11" s="145" t="s">
        <v>41</v>
      </c>
      <c r="S11" s="146">
        <f>E12</f>
        <v>62.383612576533395</v>
      </c>
    </row>
    <row r="12" spans="2:19" s="1" customFormat="1">
      <c r="B12" s="8"/>
      <c r="C12" s="136" t="s">
        <v>66</v>
      </c>
      <c r="D12" s="137">
        <v>2988.3094076475086</v>
      </c>
      <c r="E12" s="138">
        <v>62.383612576533395</v>
      </c>
      <c r="F12" s="139">
        <f>SUM(D12:E12)</f>
        <v>3050.6930202240419</v>
      </c>
      <c r="G12" s="336">
        <f>(F12/F$16)</f>
        <v>0.61215072156872585</v>
      </c>
      <c r="H12" s="9"/>
      <c r="I12" s="9"/>
      <c r="J12" s="9"/>
      <c r="K12" s="9"/>
      <c r="Q12" s="377"/>
      <c r="R12" s="145" t="s">
        <v>73</v>
      </c>
      <c r="S12" s="146">
        <f>E13</f>
        <v>121.09760088385892</v>
      </c>
    </row>
    <row r="13" spans="2:19" s="1" customFormat="1">
      <c r="B13" s="8"/>
      <c r="C13" s="136" t="s">
        <v>65</v>
      </c>
      <c r="D13" s="137">
        <v>1593.7806657022893</v>
      </c>
      <c r="E13" s="138">
        <v>121.09760088385892</v>
      </c>
      <c r="F13" s="139">
        <f>SUM(D13:E13)</f>
        <v>1714.8782665861481</v>
      </c>
      <c r="G13" s="336">
        <f>(F13/F$16)+0.001</f>
        <v>0.34510671979579971</v>
      </c>
      <c r="H13" s="9"/>
      <c r="I13" s="9"/>
      <c r="J13" s="9"/>
      <c r="K13" s="9"/>
      <c r="Q13" s="377" t="s">
        <v>88</v>
      </c>
      <c r="R13" s="145" t="s">
        <v>41</v>
      </c>
      <c r="S13" s="146">
        <f>D12</f>
        <v>2988.3094076475086</v>
      </c>
    </row>
    <row r="14" spans="2:19" s="1" customFormat="1">
      <c r="B14" s="8"/>
      <c r="C14" s="136" t="s">
        <v>67</v>
      </c>
      <c r="D14" s="137">
        <v>144.42785196250009</v>
      </c>
      <c r="E14" s="140"/>
      <c r="F14" s="139">
        <f>SUM(D14:E14)</f>
        <v>144.42785196250009</v>
      </c>
      <c r="G14" s="336">
        <f>(F14/F$16)</f>
        <v>2.8980829341843324E-2</v>
      </c>
      <c r="H14" s="9"/>
      <c r="I14" s="9"/>
      <c r="J14" s="9"/>
      <c r="K14" s="9"/>
      <c r="Q14" s="377"/>
      <c r="R14" s="145" t="s">
        <v>73</v>
      </c>
      <c r="S14" s="146">
        <f>D13</f>
        <v>1593.7806657022893</v>
      </c>
    </row>
    <row r="15" spans="2:19" s="1" customFormat="1" ht="13.8" thickBot="1">
      <c r="B15" s="8"/>
      <c r="C15" s="141" t="s">
        <v>5</v>
      </c>
      <c r="D15" s="142">
        <v>73.566040087499999</v>
      </c>
      <c r="E15" s="143"/>
      <c r="F15" s="144">
        <f>SUM(D15:E15)</f>
        <v>73.566040087499999</v>
      </c>
      <c r="G15" s="337">
        <f>(F15/F$16)</f>
        <v>1.4761729293631022E-2</v>
      </c>
      <c r="H15" s="9"/>
      <c r="I15" s="9"/>
      <c r="J15" s="9"/>
      <c r="K15" s="9"/>
      <c r="Q15" s="377"/>
      <c r="R15" s="145" t="s">
        <v>87</v>
      </c>
      <c r="S15" s="146">
        <f>SUM(D14:D15)</f>
        <v>217.99389205000008</v>
      </c>
    </row>
    <row r="16" spans="2:19" s="1" customFormat="1" ht="13.8" thickTop="1">
      <c r="B16" s="8"/>
      <c r="C16" s="246" t="s">
        <v>71</v>
      </c>
      <c r="D16" s="247">
        <f>SUM(D12:D15)</f>
        <v>4800.0839653997991</v>
      </c>
      <c r="E16" s="248">
        <f>SUM(E12:E15)</f>
        <v>183.48121346039233</v>
      </c>
      <c r="F16" s="249">
        <f>SUM(F12:F15)</f>
        <v>4983.5651788601908</v>
      </c>
      <c r="G16" s="250"/>
      <c r="H16" s="9"/>
      <c r="I16" s="9"/>
      <c r="J16" s="9"/>
      <c r="K16" s="9"/>
    </row>
    <row r="17" spans="2:19" s="1" customFormat="1">
      <c r="B17" s="8"/>
      <c r="C17" s="251" t="s">
        <v>109</v>
      </c>
      <c r="D17" s="318">
        <f>D16/F16</f>
        <v>0.96318274029229078</v>
      </c>
      <c r="E17" s="319">
        <f>E16/F16</f>
        <v>3.6817259707709285E-2</v>
      </c>
      <c r="F17" s="252"/>
      <c r="G17" s="253"/>
      <c r="H17" s="9"/>
      <c r="I17" s="9"/>
      <c r="J17" s="9"/>
      <c r="K17" s="9"/>
    </row>
    <row r="18" spans="2:19" s="1" customFormat="1">
      <c r="B18" s="8"/>
      <c r="C18" s="131"/>
      <c r="D18" s="131"/>
      <c r="E18" s="131"/>
      <c r="F18" s="131"/>
      <c r="G18" s="131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1"/>
      <c r="D22" s="131"/>
      <c r="E22" s="131"/>
      <c r="F22" s="131"/>
      <c r="G22" s="131"/>
      <c r="H22" s="130"/>
      <c r="I22" s="130"/>
      <c r="J22" s="130"/>
      <c r="K22" s="9"/>
    </row>
    <row r="23" spans="2:19" s="1" customFormat="1" ht="12.75" customHeight="1">
      <c r="B23" s="8"/>
      <c r="C23" s="384" t="s">
        <v>112</v>
      </c>
      <c r="D23" s="385"/>
      <c r="E23" s="378" t="s">
        <v>126</v>
      </c>
      <c r="F23" s="379"/>
      <c r="G23" s="150" t="s">
        <v>74</v>
      </c>
      <c r="H23" s="382" t="s">
        <v>127</v>
      </c>
      <c r="I23" s="383"/>
      <c r="J23" s="150" t="s">
        <v>74</v>
      </c>
      <c r="K23" s="9"/>
      <c r="Q23" s="145"/>
      <c r="R23" s="145">
        <v>2020</v>
      </c>
      <c r="S23" s="145">
        <v>2021</v>
      </c>
    </row>
    <row r="24" spans="2:19" s="1" customFormat="1" ht="12.75" customHeight="1">
      <c r="B24" s="8"/>
      <c r="C24" s="151"/>
      <c r="D24" s="152"/>
      <c r="E24" s="153">
        <v>2020</v>
      </c>
      <c r="F24" s="154">
        <v>2021</v>
      </c>
      <c r="G24" s="155"/>
      <c r="H24" s="235">
        <v>2020</v>
      </c>
      <c r="I24" s="154">
        <v>2021</v>
      </c>
      <c r="J24" s="155"/>
      <c r="K24" s="9"/>
      <c r="Q24" s="145" t="s">
        <v>76</v>
      </c>
      <c r="R24" s="146">
        <f>E29</f>
        <v>177.69639001876709</v>
      </c>
      <c r="S24" s="146">
        <f>F29</f>
        <v>182.62908759470665</v>
      </c>
    </row>
    <row r="25" spans="2:19" s="1" customFormat="1">
      <c r="B25" s="8"/>
      <c r="C25" s="373" t="s">
        <v>0</v>
      </c>
      <c r="D25" s="374"/>
      <c r="E25" s="190">
        <f>SUM(E26:E28)</f>
        <v>4715.1995325978078</v>
      </c>
      <c r="F25" s="191">
        <f>SUM(F26:F28)</f>
        <v>4800.9360912654829</v>
      </c>
      <c r="G25" s="192">
        <f>((F25/E25)-1)</f>
        <v>1.8183018146941343E-2</v>
      </c>
      <c r="H25" s="236">
        <f>SUM(H26:H28)</f>
        <v>50676.709019480848</v>
      </c>
      <c r="I25" s="191">
        <f>SUM(I26:I28)</f>
        <v>55483.468782209478</v>
      </c>
      <c r="J25" s="192">
        <f>((I25/H25)-1)</f>
        <v>9.4851458504948472E-2</v>
      </c>
      <c r="K25" s="9"/>
      <c r="Q25" s="145" t="s">
        <v>0</v>
      </c>
      <c r="R25" s="146">
        <f>E25</f>
        <v>4715.1995325978078</v>
      </c>
      <c r="S25" s="146">
        <f>F25</f>
        <v>4800.9360912654829</v>
      </c>
    </row>
    <row r="26" spans="2:19" s="1" customFormat="1">
      <c r="B26" s="8"/>
      <c r="C26" s="266" t="s">
        <v>62</v>
      </c>
      <c r="D26" s="275" t="s">
        <v>102</v>
      </c>
      <c r="E26" s="157">
        <v>4583.3751212224988</v>
      </c>
      <c r="F26" s="158">
        <v>4682.4819082475033</v>
      </c>
      <c r="G26" s="278">
        <f t="shared" ref="G26:G32" si="0">((F26/E26)-1)</f>
        <v>2.1623101841721004E-2</v>
      </c>
      <c r="H26" s="237">
        <v>49196.557646512483</v>
      </c>
      <c r="I26" s="158">
        <v>53985.567633538994</v>
      </c>
      <c r="J26" s="159">
        <f t="shared" ref="J26:J32" si="1">((I26/H26)-1)</f>
        <v>9.7344412213483444E-2</v>
      </c>
      <c r="K26" s="9"/>
    </row>
    <row r="27" spans="2:19" s="1" customFormat="1">
      <c r="B27" s="8"/>
      <c r="C27" s="267" t="s">
        <v>106</v>
      </c>
      <c r="D27" s="276" t="s">
        <v>77</v>
      </c>
      <c r="E27" s="269">
        <v>81.991603000000012</v>
      </c>
      <c r="F27" s="270">
        <v>73.5012857201841</v>
      </c>
      <c r="G27" s="279">
        <f t="shared" si="0"/>
        <v>-0.10355105851285662</v>
      </c>
      <c r="H27" s="271">
        <v>1007.3714552909196</v>
      </c>
      <c r="I27" s="270">
        <v>1008.4106994606842</v>
      </c>
      <c r="J27" s="403">
        <f t="shared" si="1"/>
        <v>1.0316394854215094E-3</v>
      </c>
      <c r="K27" s="9"/>
    </row>
    <row r="28" spans="2:19" s="1" customFormat="1">
      <c r="B28" s="8"/>
      <c r="C28" s="268" t="s">
        <v>64</v>
      </c>
      <c r="D28" s="277" t="s">
        <v>77</v>
      </c>
      <c r="E28" s="157">
        <v>49.832808375308389</v>
      </c>
      <c r="F28" s="158">
        <v>44.952897297796127</v>
      </c>
      <c r="G28" s="278">
        <f t="shared" si="0"/>
        <v>-9.7925668582832803E-2</v>
      </c>
      <c r="H28" s="237">
        <v>472.77991767744601</v>
      </c>
      <c r="I28" s="158">
        <v>489.49044920979617</v>
      </c>
      <c r="J28" s="278">
        <f t="shared" si="1"/>
        <v>3.5345265117100233E-2</v>
      </c>
      <c r="K28" s="9"/>
    </row>
    <row r="29" spans="2:19" s="1" customFormat="1">
      <c r="B29" s="8"/>
      <c r="C29" s="373" t="s">
        <v>76</v>
      </c>
      <c r="D29" s="374"/>
      <c r="E29" s="190">
        <f>SUM(E30:E31)</f>
        <v>177.69639001876709</v>
      </c>
      <c r="F29" s="191">
        <f>SUM(F30:F31)</f>
        <v>182.62908759470665</v>
      </c>
      <c r="G29" s="192">
        <f t="shared" si="0"/>
        <v>2.7759132165929845E-2</v>
      </c>
      <c r="H29" s="236">
        <f>SUM(H30:H31)</f>
        <v>2057.7582909150719</v>
      </c>
      <c r="I29" s="191">
        <f>SUM(I30:I31)</f>
        <v>1887.036405577797</v>
      </c>
      <c r="J29" s="192">
        <f t="shared" si="1"/>
        <v>-8.2964984804583586E-2</v>
      </c>
      <c r="K29" s="9"/>
      <c r="Q29" s="145"/>
      <c r="R29" s="145"/>
      <c r="S29" s="145"/>
    </row>
    <row r="30" spans="2:19" s="1" customFormat="1">
      <c r="B30" s="8"/>
      <c r="C30" s="272" t="s">
        <v>68</v>
      </c>
      <c r="D30" s="152"/>
      <c r="E30" s="157">
        <v>40.033360000000002</v>
      </c>
      <c r="F30" s="158">
        <v>44.100771432110456</v>
      </c>
      <c r="G30" s="278">
        <f t="shared" si="0"/>
        <v>0.10160055094327469</v>
      </c>
      <c r="H30" s="237">
        <v>453.10779300136204</v>
      </c>
      <c r="I30" s="158">
        <v>486.42953739661056</v>
      </c>
      <c r="J30" s="278">
        <f t="shared" si="1"/>
        <v>7.3540435432652984E-2</v>
      </c>
      <c r="K30" s="9"/>
    </row>
    <row r="31" spans="2:19" s="1" customFormat="1" ht="13.8" thickBot="1">
      <c r="B31" s="8"/>
      <c r="C31" s="273" t="s">
        <v>64</v>
      </c>
      <c r="D31" s="274"/>
      <c r="E31" s="161">
        <v>137.66303001876707</v>
      </c>
      <c r="F31" s="162">
        <v>138.52831616259618</v>
      </c>
      <c r="G31" s="302">
        <f t="shared" si="0"/>
        <v>6.2855375456369877E-3</v>
      </c>
      <c r="H31" s="238">
        <v>1604.6504979137101</v>
      </c>
      <c r="I31" s="162">
        <v>1400.6068681811864</v>
      </c>
      <c r="J31" s="302">
        <f t="shared" si="1"/>
        <v>-0.12715767701303893</v>
      </c>
      <c r="K31" s="9"/>
    </row>
    <row r="32" spans="2:19" s="1" customFormat="1" ht="14.4" thickTop="1" thickBot="1">
      <c r="B32" s="8"/>
      <c r="C32" s="368" t="s">
        <v>108</v>
      </c>
      <c r="D32" s="369"/>
      <c r="E32" s="193">
        <f>SUM(E25,E29)</f>
        <v>4892.8959226165753</v>
      </c>
      <c r="F32" s="194">
        <f>SUM(F25,F29)</f>
        <v>4983.5651788601899</v>
      </c>
      <c r="G32" s="195">
        <f t="shared" si="0"/>
        <v>1.8530796010704398E-2</v>
      </c>
      <c r="H32" s="239">
        <f>SUM(H25,H29)</f>
        <v>52734.467310395921</v>
      </c>
      <c r="I32" s="194">
        <f>SUM(I25,I29)</f>
        <v>57370.505187787276</v>
      </c>
      <c r="J32" s="195">
        <f t="shared" si="1"/>
        <v>8.7912860674282722E-2</v>
      </c>
      <c r="K32" s="9"/>
    </row>
    <row r="33" spans="2:19" s="1" customFormat="1">
      <c r="B33" s="8"/>
      <c r="C33" s="313" t="s">
        <v>103</v>
      </c>
      <c r="D33" s="164"/>
      <c r="E33" s="164"/>
      <c r="F33" s="165"/>
      <c r="G33" s="130"/>
      <c r="H33" s="164"/>
      <c r="I33" s="164"/>
      <c r="J33" s="130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8"/>
      <c r="D38" s="149"/>
      <c r="E38" s="378" t="s">
        <v>126</v>
      </c>
      <c r="F38" s="379"/>
      <c r="G38" s="380" t="s">
        <v>74</v>
      </c>
      <c r="H38" s="382" t="s">
        <v>127</v>
      </c>
      <c r="I38" s="383"/>
      <c r="J38" s="380" t="s">
        <v>74</v>
      </c>
      <c r="K38" s="9"/>
      <c r="Q38" s="145"/>
      <c r="R38" s="145">
        <v>2020</v>
      </c>
      <c r="S38" s="145">
        <v>2021</v>
      </c>
    </row>
    <row r="39" spans="2:19" s="1" customFormat="1" ht="12.75" customHeight="1">
      <c r="B39" s="8"/>
      <c r="C39" s="151" t="s">
        <v>75</v>
      </c>
      <c r="D39" s="152"/>
      <c r="E39" s="153">
        <v>2020</v>
      </c>
      <c r="F39" s="154">
        <v>2021</v>
      </c>
      <c r="G39" s="381"/>
      <c r="H39" s="240">
        <v>2020</v>
      </c>
      <c r="I39" s="93">
        <v>2021</v>
      </c>
      <c r="J39" s="381"/>
      <c r="K39" s="9"/>
      <c r="Q39" s="145" t="s">
        <v>66</v>
      </c>
      <c r="R39" s="146">
        <f>SUM(E41,E46)</f>
        <v>2848.9705905822352</v>
      </c>
      <c r="S39" s="146">
        <f>SUM(F41,F46)</f>
        <v>3050.6930202240419</v>
      </c>
    </row>
    <row r="40" spans="2:19" s="1" customFormat="1">
      <c r="B40" s="8"/>
      <c r="C40" s="373" t="s">
        <v>68</v>
      </c>
      <c r="D40" s="374"/>
      <c r="E40" s="190">
        <f>SUM(E41:E44)</f>
        <v>4705.4000842224987</v>
      </c>
      <c r="F40" s="191">
        <f>SUM(F41:F44)</f>
        <v>4800.0839653997991</v>
      </c>
      <c r="G40" s="192">
        <f>((F40/E40)-1)</f>
        <v>2.0122386934701142E-2</v>
      </c>
      <c r="H40" s="236">
        <f>SUM(H41:H44)</f>
        <v>50657.036894804784</v>
      </c>
      <c r="I40" s="191">
        <f>SUM(I41:I44)</f>
        <v>55480.407870396302</v>
      </c>
      <c r="J40" s="192">
        <f>((I40/H40)-1)</f>
        <v>9.5216208275423098E-2</v>
      </c>
      <c r="K40" s="9"/>
      <c r="Q40" s="145" t="s">
        <v>65</v>
      </c>
      <c r="R40" s="146">
        <f>SUM(E42,E47)</f>
        <v>1821.9884630343395</v>
      </c>
      <c r="S40" s="146">
        <f>SUM(F42,F47)</f>
        <v>1714.8782665861481</v>
      </c>
    </row>
    <row r="41" spans="2:19" s="1" customFormat="1">
      <c r="B41" s="8"/>
      <c r="C41" s="156" t="s">
        <v>66</v>
      </c>
      <c r="D41" s="131"/>
      <c r="E41" s="157">
        <v>2791.2523912224997</v>
      </c>
      <c r="F41" s="158">
        <f>D12</f>
        <v>2988.3094076475086</v>
      </c>
      <c r="G41" s="278">
        <f t="shared" ref="G41:G48" si="2">((F41/E41)-1)</f>
        <v>7.0598064526405269E-2</v>
      </c>
      <c r="H41" s="237">
        <v>29895.470950804785</v>
      </c>
      <c r="I41" s="158">
        <v>31279.82094548301</v>
      </c>
      <c r="J41" s="278">
        <f t="shared" ref="J41:J48" si="3">((I41/H41)-1)</f>
        <v>4.6306345096763124E-2</v>
      </c>
      <c r="K41" s="9"/>
      <c r="Q41" s="145" t="s">
        <v>67</v>
      </c>
      <c r="R41" s="146">
        <f>E43</f>
        <v>148.13973999999999</v>
      </c>
      <c r="S41" s="146">
        <f>F43</f>
        <v>144.42785196250009</v>
      </c>
    </row>
    <row r="42" spans="2:19" s="1" customFormat="1">
      <c r="B42" s="8"/>
      <c r="C42" s="156" t="s">
        <v>65</v>
      </c>
      <c r="D42" s="131"/>
      <c r="E42" s="157">
        <v>1692.2108239999998</v>
      </c>
      <c r="F42" s="158">
        <f>D13</f>
        <v>1593.7806657022893</v>
      </c>
      <c r="G42" s="278">
        <f t="shared" si="2"/>
        <v>-5.81666048353503E-2</v>
      </c>
      <c r="H42" s="237">
        <v>18169.253181</v>
      </c>
      <c r="I42" s="158">
        <v>21596.728561005795</v>
      </c>
      <c r="J42" s="278">
        <f t="shared" si="3"/>
        <v>0.18864151134125784</v>
      </c>
      <c r="K42" s="9"/>
      <c r="Q42" s="145" t="s">
        <v>5</v>
      </c>
      <c r="R42" s="146">
        <f>E44</f>
        <v>73.797128999999998</v>
      </c>
      <c r="S42" s="146">
        <f>F44</f>
        <v>73.566040087499999</v>
      </c>
    </row>
    <row r="43" spans="2:19" s="1" customFormat="1">
      <c r="B43" s="8"/>
      <c r="C43" s="156" t="s">
        <v>67</v>
      </c>
      <c r="D43" s="131"/>
      <c r="E43" s="157">
        <v>148.13973999999999</v>
      </c>
      <c r="F43" s="158">
        <f>D14</f>
        <v>144.42785196250009</v>
      </c>
      <c r="G43" s="278">
        <f t="shared" si="2"/>
        <v>-2.5056666344222767E-2</v>
      </c>
      <c r="H43" s="237">
        <v>1814.1021009999997</v>
      </c>
      <c r="I43" s="158">
        <v>1801.8623014</v>
      </c>
      <c r="J43" s="278">
        <f t="shared" si="3"/>
        <v>-6.7470290637184904E-3</v>
      </c>
      <c r="K43" s="9"/>
    </row>
    <row r="44" spans="2:19" s="1" customFormat="1">
      <c r="B44" s="8"/>
      <c r="C44" s="156" t="s">
        <v>5</v>
      </c>
      <c r="D44" s="131"/>
      <c r="E44" s="405">
        <v>73.797128999999998</v>
      </c>
      <c r="F44" s="406">
        <f>D15</f>
        <v>73.566040087499999</v>
      </c>
      <c r="G44" s="404">
        <f t="shared" si="2"/>
        <v>-3.1314078966405701E-3</v>
      </c>
      <c r="H44" s="237">
        <v>778.21066199999973</v>
      </c>
      <c r="I44" s="158">
        <v>801.99606250750003</v>
      </c>
      <c r="J44" s="159">
        <f t="shared" si="3"/>
        <v>3.0564218236707186E-2</v>
      </c>
      <c r="K44" s="9"/>
      <c r="Q44" s="145"/>
      <c r="R44" s="145"/>
      <c r="S44" s="145"/>
    </row>
    <row r="45" spans="2:19" s="1" customFormat="1">
      <c r="B45" s="8"/>
      <c r="C45" s="373" t="s">
        <v>64</v>
      </c>
      <c r="D45" s="374"/>
      <c r="E45" s="190">
        <f>SUM(E46:E47)</f>
        <v>187.49583839407541</v>
      </c>
      <c r="F45" s="191">
        <f>SUM(F46:F47)</f>
        <v>183.48121346039233</v>
      </c>
      <c r="G45" s="192">
        <f t="shared" si="2"/>
        <v>-2.1411808219685469E-2</v>
      </c>
      <c r="H45" s="236">
        <f>SUM(H46:H47)</f>
        <v>2077.4304155911564</v>
      </c>
      <c r="I45" s="191">
        <f>SUM(I46:I47)</f>
        <v>1890.0973173909829</v>
      </c>
      <c r="J45" s="192">
        <f t="shared" si="3"/>
        <v>-9.0175390133038769E-2</v>
      </c>
      <c r="K45" s="9"/>
    </row>
    <row r="46" spans="2:19" s="1" customFormat="1">
      <c r="B46" s="8"/>
      <c r="C46" s="156" t="s">
        <v>66</v>
      </c>
      <c r="D46" s="131"/>
      <c r="E46" s="157">
        <v>57.718199359735713</v>
      </c>
      <c r="F46" s="158">
        <f>E12</f>
        <v>62.383612576533395</v>
      </c>
      <c r="G46" s="159">
        <f t="shared" si="2"/>
        <v>8.0830886419722248E-2</v>
      </c>
      <c r="H46" s="237">
        <v>610.64283987829992</v>
      </c>
      <c r="I46" s="158">
        <v>664.84394790830208</v>
      </c>
      <c r="J46" s="159">
        <f t="shared" si="3"/>
        <v>8.8760736211701774E-2</v>
      </c>
      <c r="K46" s="9"/>
    </row>
    <row r="47" spans="2:19" s="1" customFormat="1" ht="13.8" thickBot="1">
      <c r="B47" s="8"/>
      <c r="C47" s="160" t="s">
        <v>65</v>
      </c>
      <c r="D47" s="131"/>
      <c r="E47" s="161">
        <v>129.7776390343397</v>
      </c>
      <c r="F47" s="162">
        <f>E13</f>
        <v>121.09760088385892</v>
      </c>
      <c r="G47" s="302">
        <f t="shared" si="2"/>
        <v>-6.6883927116165309E-2</v>
      </c>
      <c r="H47" s="238">
        <v>1466.7875757128563</v>
      </c>
      <c r="I47" s="162">
        <v>1225.2533694826807</v>
      </c>
      <c r="J47" s="163">
        <f t="shared" si="3"/>
        <v>-0.16466883837135748</v>
      </c>
      <c r="K47" s="9"/>
    </row>
    <row r="48" spans="2:19" s="1" customFormat="1" ht="14.4" thickTop="1" thickBot="1">
      <c r="B48" s="8"/>
      <c r="C48" s="368" t="s">
        <v>108</v>
      </c>
      <c r="D48" s="369"/>
      <c r="E48" s="193">
        <f>SUM(E40,E45)</f>
        <v>4892.8959226165744</v>
      </c>
      <c r="F48" s="194">
        <f>SUM(F40,F45)</f>
        <v>4983.5651788601917</v>
      </c>
      <c r="G48" s="195">
        <f t="shared" si="2"/>
        <v>1.8530796010704842E-2</v>
      </c>
      <c r="H48" s="239">
        <f>SUM(H40,H45)</f>
        <v>52734.467310395943</v>
      </c>
      <c r="I48" s="194">
        <f>SUM(I40,I45)</f>
        <v>57370.505187787283</v>
      </c>
      <c r="J48" s="195">
        <f t="shared" si="3"/>
        <v>8.79128606742825E-2</v>
      </c>
      <c r="K48" s="9"/>
    </row>
    <row r="49" spans="2:23" s="1" customFormat="1">
      <c r="B49" s="8"/>
      <c r="C49" s="264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9"/>
    </row>
    <row r="53" spans="2:23" s="1" customFormat="1" ht="13.8" thickBot="1">
      <c r="B53" s="8"/>
      <c r="C53" s="10"/>
      <c r="H53" s="9"/>
      <c r="I53" s="9"/>
      <c r="J53" s="9"/>
      <c r="K53" s="9"/>
      <c r="L53" s="259"/>
      <c r="M53" s="259"/>
    </row>
    <row r="54" spans="2:23" s="1" customFormat="1" ht="12.75" customHeight="1">
      <c r="B54" s="8"/>
      <c r="C54" s="148"/>
      <c r="D54" s="149"/>
      <c r="E54" s="378" t="s">
        <v>126</v>
      </c>
      <c r="F54" s="379"/>
      <c r="G54" s="380" t="s">
        <v>74</v>
      </c>
      <c r="H54" s="382" t="s">
        <v>127</v>
      </c>
      <c r="I54" s="383"/>
      <c r="J54" s="380" t="s">
        <v>74</v>
      </c>
      <c r="K54" s="9"/>
      <c r="L54" s="259"/>
      <c r="M54" s="259"/>
    </row>
    <row r="55" spans="2:23" s="1" customFormat="1" ht="12.75" customHeight="1">
      <c r="B55" s="8"/>
      <c r="C55" s="151" t="s">
        <v>75</v>
      </c>
      <c r="D55" s="152"/>
      <c r="E55" s="153">
        <v>2020</v>
      </c>
      <c r="F55" s="154">
        <v>2021</v>
      </c>
      <c r="G55" s="381"/>
      <c r="H55" s="240">
        <v>2020</v>
      </c>
      <c r="I55" s="93">
        <v>2021</v>
      </c>
      <c r="J55" s="381"/>
      <c r="K55" s="9"/>
      <c r="L55" s="259"/>
      <c r="M55" s="259"/>
    </row>
    <row r="56" spans="2:23" s="1" customFormat="1">
      <c r="B56" s="8"/>
      <c r="C56" s="373" t="s">
        <v>68</v>
      </c>
      <c r="D56" s="374"/>
      <c r="E56" s="190">
        <f>SUM(E57:E60)</f>
        <v>4705.4000842224996</v>
      </c>
      <c r="F56" s="191">
        <f>SUM(F57:F60)</f>
        <v>4800.0839653997973</v>
      </c>
      <c r="G56" s="192">
        <f>((F56/E56)-1)</f>
        <v>2.0122386934700476E-2</v>
      </c>
      <c r="H56" s="236">
        <f>SUM(H57:H60)</f>
        <v>50657.036894804784</v>
      </c>
      <c r="I56" s="191">
        <f>SUM(I57:I60)</f>
        <v>55480.407870396302</v>
      </c>
      <c r="J56" s="192">
        <f>((I56/H56)-1)</f>
        <v>9.5216208275423098E-2</v>
      </c>
      <c r="K56" s="9"/>
    </row>
    <row r="57" spans="2:23" s="1" customFormat="1" ht="26.4">
      <c r="B57" s="8"/>
      <c r="C57" s="371" t="s">
        <v>78</v>
      </c>
      <c r="D57" s="280" t="s">
        <v>79</v>
      </c>
      <c r="E57" s="326">
        <f>SUM(E43:E44)+32.999783</f>
        <v>254.93665200000001</v>
      </c>
      <c r="F57" s="327">
        <f>SUM(F43:F44)+27.0661640899375</f>
        <v>245.06005613993759</v>
      </c>
      <c r="G57" s="170">
        <f t="shared" ref="G57:G65" si="4">((F57/E57)-1)</f>
        <v>-3.8741372739383162E-2</v>
      </c>
      <c r="H57" s="328">
        <f>SUM(H43:H44)+304.602957</f>
        <v>2896.9157199999995</v>
      </c>
      <c r="I57" s="327">
        <f>SUM(I43:I44)+354.183315892437</f>
        <v>2958.0416797999369</v>
      </c>
      <c r="J57" s="170">
        <f t="shared" ref="J57:J65" si="5">((I57/H57)-1)</f>
        <v>2.1100358349374959E-2</v>
      </c>
      <c r="K57" s="9"/>
      <c r="L57" s="259"/>
      <c r="Q57" s="145"/>
      <c r="R57" s="145"/>
      <c r="T57" s="145">
        <v>2020</v>
      </c>
      <c r="U57" s="145">
        <v>2021</v>
      </c>
      <c r="V57" s="145"/>
      <c r="W57" s="145"/>
    </row>
    <row r="58" spans="2:23" s="1" customFormat="1" ht="13.8">
      <c r="B58" s="8"/>
      <c r="C58" s="372"/>
      <c r="D58" s="281" t="s">
        <v>110</v>
      </c>
      <c r="E58" s="269">
        <v>231.41479590500003</v>
      </c>
      <c r="F58" s="331">
        <v>238.54359529250016</v>
      </c>
      <c r="G58" s="279">
        <f t="shared" si="4"/>
        <v>3.080528779338132E-2</v>
      </c>
      <c r="H58" s="271">
        <v>2085.0540282825004</v>
      </c>
      <c r="I58" s="270">
        <v>2319.7558028949993</v>
      </c>
      <c r="J58" s="279">
        <f t="shared" si="5"/>
        <v>0.1125638815248482</v>
      </c>
      <c r="K58" s="9"/>
      <c r="L58" s="259"/>
      <c r="M58" s="259"/>
      <c r="Q58" s="377" t="s">
        <v>80</v>
      </c>
      <c r="R58" s="145" t="s">
        <v>66</v>
      </c>
      <c r="T58" s="146">
        <f>SUM(E60,E64)</f>
        <v>2617.5557946772351</v>
      </c>
      <c r="U58" s="146">
        <f>SUM(F60,F64)</f>
        <v>2812.1494249315419</v>
      </c>
      <c r="V58" s="147">
        <f t="shared" ref="V58:W61" si="6">T58/T$64</f>
        <v>0.53497066687603789</v>
      </c>
      <c r="W58" s="147">
        <f t="shared" si="6"/>
        <v>0.56428466850607528</v>
      </c>
    </row>
    <row r="59" spans="2:23" s="1" customFormat="1">
      <c r="B59" s="8"/>
      <c r="C59" s="370" t="s">
        <v>80</v>
      </c>
      <c r="D59" s="282" t="s">
        <v>81</v>
      </c>
      <c r="E59" s="157">
        <f>SUM(E42:E44)-E57</f>
        <v>1659.2110409999998</v>
      </c>
      <c r="F59" s="158">
        <f>SUM(F42:F44)-F57</f>
        <v>1566.7145016123516</v>
      </c>
      <c r="G59" s="278">
        <f t="shared" si="4"/>
        <v>-5.574730224305946E-2</v>
      </c>
      <c r="H59" s="237">
        <f>SUM(H42:H44)-H57</f>
        <v>17864.650224000001</v>
      </c>
      <c r="I59" s="158">
        <f>SUM(I42:I44)-I57</f>
        <v>21242.545245113361</v>
      </c>
      <c r="J59" s="278">
        <f t="shared" si="5"/>
        <v>0.18908262847348545</v>
      </c>
      <c r="K59" s="9"/>
      <c r="Q59" s="377"/>
      <c r="R59" s="145" t="s">
        <v>65</v>
      </c>
      <c r="T59" s="146">
        <f>SUM(E59,E63)</f>
        <v>1767.1388520343394</v>
      </c>
      <c r="U59" s="146">
        <f>SUM(F59,F63)</f>
        <v>1663.3756918850568</v>
      </c>
      <c r="V59" s="147">
        <f t="shared" si="6"/>
        <v>0.36116420213764261</v>
      </c>
      <c r="W59" s="147">
        <f t="shared" si="6"/>
        <v>0.33377223577629495</v>
      </c>
    </row>
    <row r="60" spans="2:23" s="1" customFormat="1">
      <c r="B60" s="8"/>
      <c r="C60" s="370"/>
      <c r="D60" s="283" t="s">
        <v>41</v>
      </c>
      <c r="E60" s="157">
        <f>E41-E58</f>
        <v>2559.8375953174996</v>
      </c>
      <c r="F60" s="158">
        <f>F41-F58</f>
        <v>2749.7658123550086</v>
      </c>
      <c r="G60" s="159">
        <f t="shared" si="4"/>
        <v>7.4195416687734106E-2</v>
      </c>
      <c r="H60" s="237">
        <f>H41-H58</f>
        <v>27810.416922522287</v>
      </c>
      <c r="I60" s="158">
        <f>I41-I58</f>
        <v>28960.06514258801</v>
      </c>
      <c r="J60" s="278">
        <f t="shared" si="5"/>
        <v>4.1338762495670478E-2</v>
      </c>
      <c r="K60" s="9"/>
      <c r="Q60" s="377" t="s">
        <v>78</v>
      </c>
      <c r="R60" s="145" t="s">
        <v>66</v>
      </c>
      <c r="T60" s="146">
        <f>E58</f>
        <v>231.41479590500003</v>
      </c>
      <c r="U60" s="146">
        <f>F58</f>
        <v>238.54359529250016</v>
      </c>
      <c r="V60" s="147">
        <f t="shared" si="6"/>
        <v>4.7296079778710351E-2</v>
      </c>
      <c r="W60" s="147">
        <f t="shared" si="6"/>
        <v>4.7866053062650696E-2</v>
      </c>
    </row>
    <row r="61" spans="2:23" s="1" customFormat="1">
      <c r="B61" s="8"/>
      <c r="C61" s="373" t="s">
        <v>64</v>
      </c>
      <c r="D61" s="374"/>
      <c r="E61" s="190">
        <f>SUM(E62:E64)</f>
        <v>187.49583839407541</v>
      </c>
      <c r="F61" s="191">
        <f>SUM(F62:F64)</f>
        <v>183.48121346039233</v>
      </c>
      <c r="G61" s="192">
        <f t="shared" si="4"/>
        <v>-2.1411808219685469E-2</v>
      </c>
      <c r="H61" s="236">
        <f>SUM(H62:H64)</f>
        <v>2077.4304155911564</v>
      </c>
      <c r="I61" s="191">
        <f>SUM(I62:I64)</f>
        <v>1890.0973173909829</v>
      </c>
      <c r="J61" s="192">
        <f t="shared" si="5"/>
        <v>-9.0175390133038769E-2</v>
      </c>
      <c r="K61" s="9"/>
      <c r="Q61" s="377"/>
      <c r="R61" s="145" t="s">
        <v>89</v>
      </c>
      <c r="T61" s="146">
        <f>E57+E62</f>
        <v>276.78647999999998</v>
      </c>
      <c r="U61" s="146">
        <f>F57+F62</f>
        <v>269.49646675109125</v>
      </c>
      <c r="V61" s="147">
        <f t="shared" si="6"/>
        <v>5.6569051207609362E-2</v>
      </c>
      <c r="W61" s="147">
        <f t="shared" si="6"/>
        <v>5.4077042654979139E-2</v>
      </c>
    </row>
    <row r="62" spans="2:23" s="1" customFormat="1">
      <c r="B62" s="8"/>
      <c r="C62" s="314" t="s">
        <v>78</v>
      </c>
      <c r="D62" s="315" t="s">
        <v>114</v>
      </c>
      <c r="E62" s="353">
        <v>21.849827999999999</v>
      </c>
      <c r="F62" s="329">
        <v>24.436410611153669</v>
      </c>
      <c r="G62" s="316">
        <f t="shared" si="4"/>
        <v>0.11837999874203442</v>
      </c>
      <c r="H62" s="330">
        <v>230.815169</v>
      </c>
      <c r="I62" s="329">
        <v>206.98380341115364</v>
      </c>
      <c r="J62" s="316">
        <f t="shared" si="5"/>
        <v>-0.10324869761417788</v>
      </c>
      <c r="K62" s="9"/>
      <c r="Q62" s="145"/>
      <c r="R62" s="145"/>
      <c r="T62" s="145"/>
      <c r="U62" s="145"/>
      <c r="V62" s="145"/>
      <c r="W62" s="145"/>
    </row>
    <row r="63" spans="2:23" s="1" customFormat="1">
      <c r="B63" s="8"/>
      <c r="C63" s="375" t="s">
        <v>80</v>
      </c>
      <c r="D63" s="282" t="s">
        <v>81</v>
      </c>
      <c r="E63" s="157">
        <f>E47-E62</f>
        <v>107.9278110343397</v>
      </c>
      <c r="F63" s="158">
        <f>F47-F62</f>
        <v>96.661190272705255</v>
      </c>
      <c r="G63" s="278">
        <f t="shared" ref="G63" si="7">((F63/E63)-1)</f>
        <v>-0.10439033881683846</v>
      </c>
      <c r="H63" s="237">
        <f>H47-H62</f>
        <v>1235.9724067128564</v>
      </c>
      <c r="I63" s="158">
        <f>I47-I62</f>
        <v>1018.269566071527</v>
      </c>
      <c r="J63" s="278">
        <f t="shared" ref="J63" si="8">((I63/H63)-1)</f>
        <v>-0.17613891658012271</v>
      </c>
      <c r="K63" s="9"/>
      <c r="Q63" s="145"/>
      <c r="R63" s="145"/>
      <c r="T63" s="145"/>
      <c r="U63" s="145"/>
      <c r="V63" s="145"/>
      <c r="W63" s="145"/>
    </row>
    <row r="64" spans="2:23" s="1" customFormat="1" ht="13.8" thickBot="1">
      <c r="B64" s="8"/>
      <c r="C64" s="376"/>
      <c r="D64" s="284" t="s">
        <v>41</v>
      </c>
      <c r="E64" s="161">
        <f>E46</f>
        <v>57.718199359735713</v>
      </c>
      <c r="F64" s="162">
        <f>F46</f>
        <v>62.383612576533395</v>
      </c>
      <c r="G64" s="163">
        <f t="shared" si="4"/>
        <v>8.0830886419722248E-2</v>
      </c>
      <c r="H64" s="238">
        <f>H46</f>
        <v>610.64283987829992</v>
      </c>
      <c r="I64" s="162">
        <f>I46</f>
        <v>664.84394790830208</v>
      </c>
      <c r="J64" s="163">
        <f t="shared" si="5"/>
        <v>8.8760736211701774E-2</v>
      </c>
      <c r="K64" s="9"/>
      <c r="Q64" s="145"/>
      <c r="R64" s="145"/>
      <c r="T64" s="146">
        <f>SUM(T58:T61)</f>
        <v>4892.8959226165734</v>
      </c>
      <c r="U64" s="146">
        <f>SUM(U58:U61)</f>
        <v>4983.5651788601899</v>
      </c>
      <c r="V64" s="145"/>
      <c r="W64" s="145"/>
    </row>
    <row r="65" spans="2:22" s="1" customFormat="1" ht="14.4" thickTop="1" thickBot="1">
      <c r="B65" s="8"/>
      <c r="C65" s="368" t="s">
        <v>108</v>
      </c>
      <c r="D65" s="369"/>
      <c r="E65" s="193">
        <f>SUM(E56,E61)</f>
        <v>4892.8959226165753</v>
      </c>
      <c r="F65" s="194">
        <f>SUM(F56,F61)</f>
        <v>4983.5651788601899</v>
      </c>
      <c r="G65" s="195">
        <f t="shared" si="4"/>
        <v>1.8530796010704398E-2</v>
      </c>
      <c r="H65" s="239">
        <f>SUM(H56,H61)</f>
        <v>52734.467310395943</v>
      </c>
      <c r="I65" s="194">
        <f>SUM(I56,I61)</f>
        <v>57370.505187787283</v>
      </c>
      <c r="J65" s="195">
        <f t="shared" si="5"/>
        <v>8.79128606742825E-2</v>
      </c>
      <c r="K65" s="9"/>
      <c r="Q65" s="145"/>
      <c r="R65" s="145"/>
      <c r="S65" s="145"/>
      <c r="T65" s="145"/>
      <c r="U65" s="145"/>
      <c r="V65" s="145"/>
    </row>
    <row r="66" spans="2:22" s="1" customFormat="1">
      <c r="B66" s="8"/>
      <c r="C66" s="264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A22" zoomScale="120" zoomScaleNormal="100" zoomScaleSheetLayoutView="120" workbookViewId="0">
      <selection activeCell="C26" sqref="C26:I35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3050.6930202240419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1605.4224700033667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57.685007800359017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51.502574701091163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144.42785196250009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73.566040087499999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5">
        <f t="shared" si="0"/>
        <v>0.2682140813305679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4983.5651788601899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0"/>
      <c r="G23" s="263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3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0"/>
      <c r="D25" s="130"/>
      <c r="E25" s="166"/>
      <c r="F25" s="166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4" t="s">
        <v>61</v>
      </c>
      <c r="D26" s="392" t="s">
        <v>126</v>
      </c>
      <c r="E26" s="392"/>
      <c r="F26" s="388" t="s">
        <v>74</v>
      </c>
      <c r="G26" s="386" t="s">
        <v>127</v>
      </c>
      <c r="H26" s="387"/>
      <c r="I26" s="388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5"/>
      <c r="D27" s="95">
        <v>2020</v>
      </c>
      <c r="E27" s="96">
        <v>2021</v>
      </c>
      <c r="F27" s="389"/>
      <c r="G27" s="241">
        <v>2020</v>
      </c>
      <c r="H27" s="96">
        <v>2021</v>
      </c>
      <c r="I27" s="389"/>
      <c r="J27" s="20"/>
      <c r="K27" s="54"/>
      <c r="L27" s="54"/>
      <c r="M27" s="55" t="s">
        <v>85</v>
      </c>
      <c r="N27" s="70">
        <f t="shared" ref="N27:O29" si="1">D28</f>
        <v>2848.9705905822352</v>
      </c>
      <c r="O27" s="70">
        <f t="shared" si="1"/>
        <v>3050.6930202240419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7" t="s">
        <v>85</v>
      </c>
      <c r="D28" s="168">
        <f>'Resumen (G)'!E41+'Resumen (G)'!E46</f>
        <v>2848.9705905822352</v>
      </c>
      <c r="E28" s="169">
        <f>'Resumen (G)'!F41+'Resumen (G)'!F46</f>
        <v>3050.6930202240419</v>
      </c>
      <c r="F28" s="170">
        <f>+E28/D28-1</f>
        <v>7.0805374512687091E-2</v>
      </c>
      <c r="G28" s="254">
        <f>'Resumen (G)'!H41+'Resumen (G)'!H46</f>
        <v>30506.113790683085</v>
      </c>
      <c r="H28" s="169">
        <f>'Resumen (G)'!I41+'Resumen (G)'!I46</f>
        <v>31944.664893391313</v>
      </c>
      <c r="I28" s="356">
        <f>+H28/G28-1</f>
        <v>4.715615737156198E-2</v>
      </c>
      <c r="J28" s="303"/>
      <c r="K28" s="54"/>
      <c r="L28" s="54"/>
      <c r="M28" s="55" t="s">
        <v>2</v>
      </c>
      <c r="N28" s="70">
        <f t="shared" si="1"/>
        <v>1649.6829580000001</v>
      </c>
      <c r="O28" s="70">
        <f t="shared" si="1"/>
        <v>1605.4224700033667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1" t="s">
        <v>2</v>
      </c>
      <c r="D29" s="172">
        <v>1649.6829580000001</v>
      </c>
      <c r="E29" s="173">
        <v>1605.4224700033667</v>
      </c>
      <c r="F29" s="174">
        <f t="shared" ref="F29:F35" si="2">+E29/D29-1</f>
        <v>-2.682969341593533E-2</v>
      </c>
      <c r="G29" s="255">
        <v>18017.192573</v>
      </c>
      <c r="H29" s="173">
        <v>21322.072634420871</v>
      </c>
      <c r="I29" s="174">
        <f t="shared" ref="I29:I35" si="3">+H29/G29-1</f>
        <v>0.18342924670591909</v>
      </c>
      <c r="J29" s="261"/>
      <c r="K29" s="262"/>
      <c r="L29" s="54"/>
      <c r="M29" s="55" t="s">
        <v>84</v>
      </c>
      <c r="N29" s="70">
        <f t="shared" si="1"/>
        <v>117.21089403434144</v>
      </c>
      <c r="O29" s="70">
        <f t="shared" si="1"/>
        <v>57.685007800359017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1" t="s">
        <v>3</v>
      </c>
      <c r="D30" s="172">
        <f>'Resumen (G)'!E32-SUM('TipoRecurso (G)'!D28:D29,'TipoRecurso (G)'!D31:D34)</f>
        <v>117.21089403434144</v>
      </c>
      <c r="E30" s="173">
        <f>'Resumen (G)'!F32-SUM('TipoRecurso (G)'!E28:E29,'TipoRecurso (G)'!E31:E34)</f>
        <v>57.685007800359017</v>
      </c>
      <c r="F30" s="174">
        <f t="shared" si="2"/>
        <v>-0.50785284699340338</v>
      </c>
      <c r="G30" s="255">
        <f>'Resumen (G)'!H32-SUM('TipoRecurso (G)'!G28:G29,'TipoRecurso (G)'!G31:G34)</f>
        <v>1080.7310577128446</v>
      </c>
      <c r="H30" s="173">
        <f>'Resumen (G)'!I32-SUM('TipoRecurso (G)'!H28:H29,'TipoRecurso (G)'!H31:H34)</f>
        <v>936.0119115706766</v>
      </c>
      <c r="I30" s="174">
        <f t="shared" si="3"/>
        <v>-0.13390856597425604</v>
      </c>
      <c r="J30" s="303"/>
      <c r="K30" s="54"/>
      <c r="L30" s="54"/>
      <c r="M30" s="55" t="s">
        <v>4</v>
      </c>
      <c r="N30" s="99">
        <f>D34</f>
        <v>0.245</v>
      </c>
      <c r="O30" s="99">
        <f>E34</f>
        <v>0.2682140813305679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1" t="s">
        <v>6</v>
      </c>
      <c r="D31" s="172">
        <f>'Resumen (G)'!E57+'Resumen (G)'!E62-SUM('TipoRecurso (G)'!D32:D33)</f>
        <v>54.849610999999982</v>
      </c>
      <c r="E31" s="173">
        <f>'Resumen (G)'!F57+'Resumen (G)'!F62-SUM('TipoRecurso (G)'!E32:E33)</f>
        <v>51.502574701091163</v>
      </c>
      <c r="F31" s="174">
        <f t="shared" si="2"/>
        <v>-6.1022060829361569E-2</v>
      </c>
      <c r="G31" s="255">
        <f>'Resumen (G)'!H57+'Resumen (G)'!H62-SUM('TipoRecurso (G)'!G32:G33)</f>
        <v>535.41812600000003</v>
      </c>
      <c r="H31" s="173">
        <f>'Resumen (G)'!I57+'Resumen (G)'!I62-SUM('TipoRecurso (G)'!H32:H33)</f>
        <v>561.16711930359043</v>
      </c>
      <c r="I31" s="174">
        <f t="shared" si="3"/>
        <v>4.8091373924816327E-2</v>
      </c>
      <c r="J31" s="20"/>
      <c r="K31" s="54"/>
      <c r="L31" s="54"/>
      <c r="M31" s="55" t="s">
        <v>90</v>
      </c>
      <c r="N31" s="70">
        <f t="shared" ref="N31:O33" si="4">D31</f>
        <v>54.849610999999982</v>
      </c>
      <c r="O31" s="70">
        <f t="shared" si="4"/>
        <v>51.502574701091163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1" t="s">
        <v>14</v>
      </c>
      <c r="D32" s="172">
        <f>'Resumen (G)'!E43</f>
        <v>148.13973999999999</v>
      </c>
      <c r="E32" s="173">
        <f>'Resumen (G)'!F43</f>
        <v>144.42785196250009</v>
      </c>
      <c r="F32" s="174">
        <f t="shared" si="2"/>
        <v>-2.5056666344222767E-2</v>
      </c>
      <c r="G32" s="255">
        <f>'Resumen (G)'!H43</f>
        <v>1814.1021009999997</v>
      </c>
      <c r="H32" s="173">
        <f>'Resumen (G)'!I43</f>
        <v>1801.8623014</v>
      </c>
      <c r="I32" s="174">
        <f t="shared" si="3"/>
        <v>-6.7470290637184904E-3</v>
      </c>
      <c r="J32" s="20"/>
      <c r="K32" s="54"/>
      <c r="L32" s="54"/>
      <c r="M32" s="55" t="s">
        <v>14</v>
      </c>
      <c r="N32" s="70">
        <f t="shared" si="4"/>
        <v>148.13973999999999</v>
      </c>
      <c r="O32" s="70">
        <f t="shared" si="4"/>
        <v>144.42785196250009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1" t="s">
        <v>5</v>
      </c>
      <c r="D33" s="407">
        <f>'Resumen (G)'!E44</f>
        <v>73.797128999999998</v>
      </c>
      <c r="E33" s="408">
        <f>'Resumen (G)'!F44</f>
        <v>73.566040087499999</v>
      </c>
      <c r="F33" s="361">
        <f t="shared" si="2"/>
        <v>-3.1314078966405701E-3</v>
      </c>
      <c r="G33" s="255">
        <f>'Resumen (G)'!H44</f>
        <v>778.21066199999973</v>
      </c>
      <c r="H33" s="173">
        <f>'Resumen (G)'!I44</f>
        <v>801.99606250750003</v>
      </c>
      <c r="I33" s="174">
        <f t="shared" si="3"/>
        <v>3.0564218236707186E-2</v>
      </c>
      <c r="J33" s="20"/>
      <c r="K33" s="54"/>
      <c r="L33" s="54"/>
      <c r="M33" s="55" t="s">
        <v>5</v>
      </c>
      <c r="N33" s="70">
        <f t="shared" si="4"/>
        <v>73.797128999999998</v>
      </c>
      <c r="O33" s="70">
        <f t="shared" si="4"/>
        <v>73.566040087499999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5" t="s">
        <v>4</v>
      </c>
      <c r="D34" s="366">
        <v>0.245</v>
      </c>
      <c r="E34" s="357">
        <v>0.2682140813305679</v>
      </c>
      <c r="F34" s="176">
        <f t="shared" si="2"/>
        <v>9.475135236966481E-2</v>
      </c>
      <c r="G34" s="360">
        <v>2.6989999999999998</v>
      </c>
      <c r="H34" s="357">
        <v>2.7302651933305677</v>
      </c>
      <c r="I34" s="176">
        <f t="shared" si="3"/>
        <v>1.1583991600803145E-2</v>
      </c>
      <c r="J34" s="20"/>
      <c r="K34" s="54"/>
      <c r="L34" s="54"/>
      <c r="M34" s="97"/>
      <c r="N34" s="98">
        <f>SUM(N27:N33)</f>
        <v>4892.8959226165753</v>
      </c>
      <c r="O34" s="98">
        <f>SUM(O27:O33)</f>
        <v>4983.5651788601899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6" t="s">
        <v>108</v>
      </c>
      <c r="D35" s="307">
        <f>SUM(D28:D34)</f>
        <v>4892.8959226165753</v>
      </c>
      <c r="E35" s="308">
        <f>SUM(E28:E34)</f>
        <v>4983.5651788601899</v>
      </c>
      <c r="F35" s="309">
        <f t="shared" si="2"/>
        <v>1.8530796010704398E-2</v>
      </c>
      <c r="G35" s="310">
        <f>SUM(G28:G34)</f>
        <v>52734.467310395921</v>
      </c>
      <c r="H35" s="308">
        <f>SUM(H28:H34)</f>
        <v>57370.505187787276</v>
      </c>
      <c r="I35" s="311">
        <f t="shared" si="3"/>
        <v>8.7912860674282722E-2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7"/>
      <c r="D36" s="177"/>
      <c r="E36" s="178"/>
      <c r="F36" s="179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0"/>
      <c r="N39" s="23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0">
        <f t="shared" ref="M40:N46" si="5">N27/N$34</f>
        <v>0.58226674665474809</v>
      </c>
      <c r="N40" s="230">
        <f t="shared" si="5"/>
        <v>0.61215072156872596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0">
        <f t="shared" si="5"/>
        <v>0.33715880821715877</v>
      </c>
      <c r="N41" s="230">
        <f t="shared" si="5"/>
        <v>0.32214336772666613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0">
        <f t="shared" si="5"/>
        <v>2.3955321324648275E-2</v>
      </c>
      <c r="N42" s="230">
        <f t="shared" si="5"/>
        <v>1.1575048329869015E-2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0">
        <f t="shared" si="5"/>
        <v>5.0072595835838111E-5</v>
      </c>
      <c r="N43" s="230">
        <f t="shared" si="5"/>
        <v>5.381971975972273E-5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0">
        <f t="shared" si="5"/>
        <v>1.1210050625942609E-2</v>
      </c>
      <c r="N44" s="230">
        <f t="shared" si="5"/>
        <v>1.033448401950479E-2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0">
        <f t="shared" si="5"/>
        <v>3.0276495217331185E-2</v>
      </c>
      <c r="N45" s="230">
        <f t="shared" si="5"/>
        <v>2.8980829341843328E-2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0">
        <f t="shared" si="5"/>
        <v>1.5082505364335542E-2</v>
      </c>
      <c r="N46" s="230">
        <f t="shared" si="5"/>
        <v>1.4761729293631023E-2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0">
        <f>N34/N$34</f>
        <v>1</v>
      </c>
      <c r="N47" s="23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1">
        <f>SUM(M39:M46)</f>
        <v>1.0000000000000004</v>
      </c>
      <c r="N49" s="231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0" t="s">
        <v>91</v>
      </c>
      <c r="D53" s="392" t="s">
        <v>126</v>
      </c>
      <c r="E53" s="392"/>
      <c r="F53" s="388" t="s">
        <v>74</v>
      </c>
      <c r="G53" s="386" t="s">
        <v>127</v>
      </c>
      <c r="H53" s="387"/>
      <c r="I53" s="388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1"/>
      <c r="D54" s="95">
        <v>2020</v>
      </c>
      <c r="E54" s="96">
        <v>2021</v>
      </c>
      <c r="F54" s="389"/>
      <c r="G54" s="241">
        <v>2020</v>
      </c>
      <c r="H54" s="96">
        <v>2021</v>
      </c>
      <c r="I54" s="389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9" t="s">
        <v>42</v>
      </c>
      <c r="D55" s="290">
        <f>SUM(D28:D30,D34)</f>
        <v>4616.1094426165764</v>
      </c>
      <c r="E55" s="291">
        <f>SUM(E28:E30,E34)</f>
        <v>4714.0687121090978</v>
      </c>
      <c r="F55" s="292">
        <f>+E55/D55-1</f>
        <v>2.1221175691405358E-2</v>
      </c>
      <c r="G55" s="293">
        <f>SUM(G28:G30,G34)</f>
        <v>49606.73642139593</v>
      </c>
      <c r="H55" s="291">
        <f>SUM(H28:H30,H34)</f>
        <v>54205.479704576188</v>
      </c>
      <c r="I55" s="292">
        <f>+H55/G55-1</f>
        <v>9.2704007861254212E-2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4" t="s">
        <v>104</v>
      </c>
      <c r="D56" s="295">
        <f>SUM(D31:D33)</f>
        <v>276.78647999999998</v>
      </c>
      <c r="E56" s="296">
        <f>SUM(E31:E33)</f>
        <v>269.49646675109125</v>
      </c>
      <c r="F56" s="297">
        <f>+E56/D56-1</f>
        <v>-2.6338039520242273E-2</v>
      </c>
      <c r="G56" s="298">
        <f>SUM(G31:G33)</f>
        <v>3127.7308889999995</v>
      </c>
      <c r="H56" s="296">
        <f>SUM(H31:H33)</f>
        <v>3165.0254832110904</v>
      </c>
      <c r="I56" s="299">
        <f>+H56/G56-1</f>
        <v>1.192385008002228E-2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4892.8959226165762</v>
      </c>
      <c r="E57" s="101">
        <f>SUM(E55:E56)</f>
        <v>4983.565178860189</v>
      </c>
      <c r="F57" s="102">
        <f>+E57/D57-1</f>
        <v>1.8530796010703954E-2</v>
      </c>
      <c r="G57" s="256">
        <f>SUM(G55:G56)</f>
        <v>52734.467310395929</v>
      </c>
      <c r="H57" s="101">
        <f>SUM(H55:H56)</f>
        <v>57370.505187787276</v>
      </c>
      <c r="I57" s="102">
        <f>+H57/G57-1</f>
        <v>8.79128606742825E-2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5" t="s">
        <v>8</v>
      </c>
      <c r="D58" s="103">
        <f>+D56/D57</f>
        <v>5.6569051207609328E-2</v>
      </c>
      <c r="E58" s="104">
        <f>+E56/E57</f>
        <v>5.4077042654979153E-2</v>
      </c>
      <c r="F58" s="105"/>
      <c r="G58" s="257">
        <f>+G56/G57</f>
        <v>5.9310941183687793E-2</v>
      </c>
      <c r="H58" s="104">
        <f>+H56/H57</f>
        <v>5.516816477127421E-2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5" t="s">
        <v>105</v>
      </c>
      <c r="D59" s="123"/>
      <c r="E59" s="123"/>
      <c r="F59" s="124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4616.1094426165764</v>
      </c>
      <c r="N63" s="76">
        <f>E55</f>
        <v>4714.0687121090978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276.78647999999998</v>
      </c>
      <c r="N64" s="76">
        <f>E56</f>
        <v>269.49646675109125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5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1"/>
      <c r="D76" s="392" t="s">
        <v>126</v>
      </c>
      <c r="E76" s="392"/>
      <c r="F76" s="106" t="s">
        <v>74</v>
      </c>
      <c r="G76" s="386" t="s">
        <v>127</v>
      </c>
      <c r="H76" s="387"/>
      <c r="I76" s="228" t="s">
        <v>74</v>
      </c>
      <c r="J76" s="19"/>
      <c r="K76" s="57"/>
      <c r="L76" s="57"/>
      <c r="M76" s="55" t="s">
        <v>96</v>
      </c>
      <c r="N76" s="70">
        <f>D78</f>
        <v>39.180447707499994</v>
      </c>
      <c r="O76" s="70">
        <f>E78</f>
        <v>58.16661087249998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6" t="s">
        <v>95</v>
      </c>
      <c r="D77" s="127">
        <v>2020</v>
      </c>
      <c r="E77" s="233">
        <v>2021</v>
      </c>
      <c r="F77" s="107"/>
      <c r="G77" s="349">
        <v>2020</v>
      </c>
      <c r="H77" s="96">
        <v>2021</v>
      </c>
      <c r="I77" s="229"/>
      <c r="J77" s="19"/>
      <c r="K77" s="57"/>
      <c r="L77" s="57"/>
      <c r="M77" s="55" t="s">
        <v>97</v>
      </c>
      <c r="N77" s="70">
        <f>D79</f>
        <v>4666.2196365149985</v>
      </c>
      <c r="O77" s="70">
        <f>E79</f>
        <v>4741.9173545272988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6" t="s">
        <v>96</v>
      </c>
      <c r="D78" s="157">
        <v>39.180447707499994</v>
      </c>
      <c r="E78" s="367">
        <v>58.16661087249998</v>
      </c>
      <c r="F78" s="159">
        <f>((E78/D78)-1)</f>
        <v>0.48458259861501318</v>
      </c>
      <c r="G78" s="363">
        <v>81.67853968499999</v>
      </c>
      <c r="H78" s="362">
        <v>86.455317049999962</v>
      </c>
      <c r="I78" s="159">
        <f>((H78/G78)-1)</f>
        <v>5.8482648972692397E-2</v>
      </c>
      <c r="J78" s="19"/>
      <c r="K78" s="260"/>
      <c r="L78" s="57"/>
    </row>
    <row r="79" spans="2:28" ht="16.5" customHeight="1" thickBot="1">
      <c r="C79" s="300" t="s">
        <v>97</v>
      </c>
      <c r="D79" s="161">
        <f>'Resumen (G)'!E40-D78</f>
        <v>4666.2196365149985</v>
      </c>
      <c r="E79" s="332">
        <f>'Resumen (G)'!F40-E78</f>
        <v>4741.9173545272988</v>
      </c>
      <c r="F79" s="163">
        <f>((E79/D79)-1)</f>
        <v>1.622249356201233E-2</v>
      </c>
      <c r="G79" s="238">
        <f>'Resumen (G)'!H40-G78</f>
        <v>50575.358355119781</v>
      </c>
      <c r="H79" s="332">
        <f>'Resumen (G)'!I40-H78</f>
        <v>55393.952553346302</v>
      </c>
      <c r="I79" s="163">
        <f>((H79/G79)-1)</f>
        <v>9.527553249138232E-2</v>
      </c>
      <c r="J79" s="19"/>
      <c r="K79" s="57"/>
      <c r="L79" s="57"/>
      <c r="M79" s="70"/>
      <c r="N79" s="70"/>
      <c r="O79" s="70"/>
    </row>
    <row r="80" spans="2:28" ht="14.4" thickTop="1" thickBot="1">
      <c r="C80" s="128" t="s">
        <v>94</v>
      </c>
      <c r="D80" s="232">
        <f>SUM(D78:D79)</f>
        <v>4705.4000842224987</v>
      </c>
      <c r="E80" s="333">
        <f>SUM(E78:E79)</f>
        <v>4800.0839653997991</v>
      </c>
      <c r="F80" s="129"/>
      <c r="G80" s="258">
        <f>SUM(G78:G79)</f>
        <v>50657.036894804784</v>
      </c>
      <c r="H80" s="333">
        <f>SUM(H78:H79)</f>
        <v>55480.407870396302</v>
      </c>
      <c r="I80" s="129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30" zoomScale="90" zoomScaleNormal="100" zoomScaleSheetLayoutView="90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130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8" t="s">
        <v>44</v>
      </c>
      <c r="D8" s="400" t="s">
        <v>126</v>
      </c>
      <c r="E8" s="401"/>
      <c r="F8" s="388" t="s">
        <v>74</v>
      </c>
      <c r="G8" s="386" t="s">
        <v>129</v>
      </c>
      <c r="H8" s="387"/>
      <c r="I8" s="388" t="s">
        <v>74</v>
      </c>
      <c r="J8" s="26"/>
    </row>
    <row r="9" spans="2:13" s="1" customFormat="1" ht="13.5" customHeight="1">
      <c r="B9" s="19"/>
      <c r="C9" s="209"/>
      <c r="D9" s="110">
        <v>2020</v>
      </c>
      <c r="E9" s="96">
        <v>2021</v>
      </c>
      <c r="F9" s="389"/>
      <c r="G9" s="241">
        <v>2020</v>
      </c>
      <c r="H9" s="96">
        <v>2021</v>
      </c>
      <c r="I9" s="389"/>
      <c r="J9" s="26"/>
    </row>
    <row r="10" spans="2:13">
      <c r="C10" s="196" t="s">
        <v>10</v>
      </c>
      <c r="D10" s="197">
        <f>'Por Región (G)'!O8</f>
        <v>342.31317373119697</v>
      </c>
      <c r="E10" s="198">
        <f>'Por Región (G)'!P8</f>
        <v>380.3142023991573</v>
      </c>
      <c r="F10" s="199">
        <f>+E10/D10-1</f>
        <v>0.1110124633935381</v>
      </c>
      <c r="G10" s="344">
        <f>'Por Región (G)'!Q8</f>
        <v>3375.5845703275477</v>
      </c>
      <c r="H10" s="198">
        <f>'Por Región (G)'!R8</f>
        <v>3817.4949445701245</v>
      </c>
      <c r="I10" s="199">
        <f>+H10/G10-1</f>
        <v>0.13091373213608937</v>
      </c>
      <c r="J10" s="26"/>
      <c r="L10" s="145" t="s">
        <v>9</v>
      </c>
      <c r="M10" s="234">
        <f>E11</f>
        <v>3982.3199538179388</v>
      </c>
    </row>
    <row r="11" spans="2:13">
      <c r="C11" s="200" t="s">
        <v>9</v>
      </c>
      <c r="D11" s="201">
        <f>'Por Región (G)'!O9</f>
        <v>3887.210064038336</v>
      </c>
      <c r="E11" s="202">
        <f>'Por Región (G)'!P9</f>
        <v>3982.3199538179388</v>
      </c>
      <c r="F11" s="203">
        <f>+E11/D11-1</f>
        <v>2.4467391319931808E-2</v>
      </c>
      <c r="G11" s="345">
        <f>'Por Región (G)'!Q9</f>
        <v>42004.384666482219</v>
      </c>
      <c r="H11" s="202">
        <f>'Por Región (G)'!R9</f>
        <v>46249.104076295924</v>
      </c>
      <c r="I11" s="203">
        <f>+H11/G11-1</f>
        <v>0.10105419811567473</v>
      </c>
      <c r="J11" s="26"/>
      <c r="L11" s="145" t="s">
        <v>12</v>
      </c>
      <c r="M11" s="234">
        <f>E12</f>
        <v>586.03352081976311</v>
      </c>
    </row>
    <row r="12" spans="2:13">
      <c r="C12" s="200" t="s">
        <v>12</v>
      </c>
      <c r="D12" s="201">
        <f>'Por Región (G)'!O10</f>
        <v>628.41682213056072</v>
      </c>
      <c r="E12" s="202">
        <f>'Por Región (G)'!P10</f>
        <v>586.03352081976311</v>
      </c>
      <c r="F12" s="203">
        <f>+E12/D12-1</f>
        <v>-6.7444568347331701E-2</v>
      </c>
      <c r="G12" s="345">
        <f>'Por Región (G)'!Q10</f>
        <v>6851.9023329261545</v>
      </c>
      <c r="H12" s="202">
        <f>'Por Región (G)'!R10</f>
        <v>6894.3623377652366</v>
      </c>
      <c r="I12" s="203">
        <f>+H12/G12-1</f>
        <v>6.1968199159880832E-3</v>
      </c>
      <c r="J12" s="26"/>
      <c r="L12" s="145" t="s">
        <v>10</v>
      </c>
      <c r="M12" s="234">
        <f>E10</f>
        <v>380.3142023991573</v>
      </c>
    </row>
    <row r="13" spans="2:13">
      <c r="C13" s="204" t="s">
        <v>11</v>
      </c>
      <c r="D13" s="205">
        <f>'Por Región (G)'!O11</f>
        <v>34.955862716481846</v>
      </c>
      <c r="E13" s="206">
        <f>'Por Región (G)'!P11</f>
        <v>34.897501823333329</v>
      </c>
      <c r="F13" s="207">
        <f>+E13/D13-1</f>
        <v>-1.6695595134317287E-3</v>
      </c>
      <c r="G13" s="346">
        <f>'Por Región (G)'!Q11</f>
        <v>502.59574066001232</v>
      </c>
      <c r="H13" s="206">
        <f>'Por Región (G)'!R11</f>
        <v>409.54382915600002</v>
      </c>
      <c r="I13" s="207">
        <f>+H13/G13-1</f>
        <v>-0.18514265835563171</v>
      </c>
      <c r="J13" s="26"/>
      <c r="L13" s="145" t="s">
        <v>11</v>
      </c>
      <c r="M13" s="234">
        <f>E13</f>
        <v>34.897501823333329</v>
      </c>
    </row>
    <row r="14" spans="2:13" ht="13.8" thickBot="1">
      <c r="C14" s="210" t="s">
        <v>108</v>
      </c>
      <c r="D14" s="211">
        <f>SUM(D10:D13)</f>
        <v>4892.8959226165753</v>
      </c>
      <c r="E14" s="212">
        <f>SUM(E10:E13)</f>
        <v>4983.5651788601926</v>
      </c>
      <c r="F14" s="213">
        <f>+E14/D14-1</f>
        <v>1.8530796010704842E-2</v>
      </c>
      <c r="G14" s="347">
        <f>SUM(G10:G13)</f>
        <v>52734.467310395936</v>
      </c>
      <c r="H14" s="212">
        <f>SUM(H10:H13)</f>
        <v>57370.50518778729</v>
      </c>
      <c r="I14" s="213">
        <f>+H14/G14-1</f>
        <v>8.7912860674282722E-2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131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7" t="s">
        <v>93</v>
      </c>
      <c r="D18" s="397"/>
      <c r="E18" s="397"/>
      <c r="F18" s="397"/>
      <c r="G18" s="398" t="s">
        <v>107</v>
      </c>
      <c r="H18" s="399"/>
      <c r="I18" s="399"/>
      <c r="J18" s="399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9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4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3" t="s">
        <v>13</v>
      </c>
      <c r="D54" s="395" t="s">
        <v>132</v>
      </c>
      <c r="E54" s="396"/>
      <c r="F54" s="396"/>
      <c r="G54" s="396"/>
      <c r="H54" s="396"/>
      <c r="I54" s="19"/>
      <c r="J54" s="19"/>
    </row>
    <row r="55" spans="3:13">
      <c r="C55" s="394"/>
      <c r="D55" s="113" t="s">
        <v>14</v>
      </c>
      <c r="E55" s="114" t="s">
        <v>15</v>
      </c>
      <c r="F55" s="114" t="s">
        <v>5</v>
      </c>
      <c r="G55" s="114" t="s">
        <v>16</v>
      </c>
      <c r="H55" s="114" t="s">
        <v>71</v>
      </c>
      <c r="I55" s="19"/>
      <c r="J55" s="19"/>
    </row>
    <row r="56" spans="3:13">
      <c r="C56" s="215" t="s">
        <v>10</v>
      </c>
      <c r="D56" s="340">
        <f>'Resumen (G)'!F14-'PorZona (G)'!D58</f>
        <v>88.260926335000079</v>
      </c>
      <c r="E56" s="219">
        <v>175.60305395797349</v>
      </c>
      <c r="F56" s="219">
        <v>0</v>
      </c>
      <c r="G56" s="219">
        <v>116.45022210618373</v>
      </c>
      <c r="H56" s="219">
        <f>SUM(D56:G56)</f>
        <v>380.3142023991573</v>
      </c>
      <c r="I56" s="335"/>
      <c r="K56" s="312"/>
      <c r="L56" s="325"/>
      <c r="M56" s="325"/>
    </row>
    <row r="57" spans="3:13">
      <c r="C57" s="216" t="s">
        <v>9</v>
      </c>
      <c r="D57" s="341">
        <v>0</v>
      </c>
      <c r="E57" s="220">
        <v>2489.6272800530878</v>
      </c>
      <c r="F57" s="342">
        <v>6.4619999999999999E-3</v>
      </c>
      <c r="G57" s="220">
        <v>1492.6862117648511</v>
      </c>
      <c r="H57" s="220">
        <f>SUM(D57:G57)</f>
        <v>3982.3199538179388</v>
      </c>
      <c r="I57" s="335"/>
      <c r="K57" s="312"/>
      <c r="L57" s="325"/>
      <c r="M57" s="325"/>
    </row>
    <row r="58" spans="3:13">
      <c r="C58" s="216" t="s">
        <v>12</v>
      </c>
      <c r="D58" s="341">
        <v>56.166925627500007</v>
      </c>
      <c r="E58" s="220">
        <v>385.46268621298071</v>
      </c>
      <c r="F58" s="220">
        <f>'Resumen (G)'!D15</f>
        <v>73.566040087499999</v>
      </c>
      <c r="G58" s="220">
        <v>70.837868891782364</v>
      </c>
      <c r="H58" s="220">
        <f>SUM(D58:G58)</f>
        <v>586.03352081976311</v>
      </c>
      <c r="I58" s="335"/>
      <c r="K58" s="312"/>
      <c r="L58" s="325"/>
      <c r="M58" s="325"/>
    </row>
    <row r="59" spans="3:13">
      <c r="C59" s="217" t="s">
        <v>11</v>
      </c>
      <c r="D59" s="343">
        <v>0</v>
      </c>
      <c r="E59" s="221">
        <v>0</v>
      </c>
      <c r="F59" s="221">
        <v>0</v>
      </c>
      <c r="G59" s="221">
        <f>E13</f>
        <v>34.897501823333329</v>
      </c>
      <c r="H59" s="221">
        <f>SUM(D59:G59)</f>
        <v>34.897501823333329</v>
      </c>
      <c r="I59" s="335"/>
      <c r="K59" s="19"/>
      <c r="L59" s="325"/>
      <c r="M59" s="325"/>
    </row>
    <row r="60" spans="3:13" ht="13.8" thickBot="1">
      <c r="C60" s="115" t="s">
        <v>108</v>
      </c>
      <c r="D60" s="222">
        <f>SUM(D56:D59)</f>
        <v>144.42785196250009</v>
      </c>
      <c r="E60" s="223">
        <f>SUM(E56:E59)</f>
        <v>3050.6930202240419</v>
      </c>
      <c r="F60" s="223">
        <f>SUM(F56:F59)</f>
        <v>73.572502087499998</v>
      </c>
      <c r="G60" s="223">
        <f>SUM(G56:G59)</f>
        <v>1714.8718045861506</v>
      </c>
      <c r="H60" s="223">
        <f>SUM(H56:H59)</f>
        <v>4983.5651788601926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38"/>
      <c r="H64" s="122"/>
    </row>
    <row r="65" spans="5:5">
      <c r="E65" s="122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topLeftCell="A4" zoomScale="70" zoomScaleNormal="100" zoomScaleSheetLayoutView="70" workbookViewId="0">
      <selection activeCell="C6" sqref="C6:I3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8" t="s">
        <v>60</v>
      </c>
      <c r="D6" s="400" t="s">
        <v>126</v>
      </c>
      <c r="E6" s="401"/>
      <c r="F6" s="388" t="s">
        <v>74</v>
      </c>
      <c r="G6" s="386" t="s">
        <v>127</v>
      </c>
      <c r="H6" s="387"/>
      <c r="I6" s="388" t="s">
        <v>74</v>
      </c>
      <c r="O6" s="47"/>
      <c r="P6" s="86"/>
      <c r="Q6" s="402" t="s">
        <v>116</v>
      </c>
      <c r="R6" s="402"/>
    </row>
    <row r="7" spans="3:19" ht="12.75" customHeight="1">
      <c r="C7" s="109"/>
      <c r="D7" s="110">
        <v>2020</v>
      </c>
      <c r="E7" s="96">
        <v>2021</v>
      </c>
      <c r="F7" s="389"/>
      <c r="G7" s="241">
        <v>2020</v>
      </c>
      <c r="H7" s="96">
        <v>2021</v>
      </c>
      <c r="I7" s="389"/>
      <c r="N7" s="54"/>
      <c r="O7" s="322">
        <v>2020</v>
      </c>
      <c r="P7" s="324">
        <v>2021</v>
      </c>
      <c r="Q7" s="54">
        <v>2020</v>
      </c>
      <c r="R7" s="54">
        <v>2021</v>
      </c>
    </row>
    <row r="8" spans="3:19" ht="20.100000000000001" customHeight="1">
      <c r="C8" s="117" t="s">
        <v>17</v>
      </c>
      <c r="D8" s="358">
        <v>3.179721652075703</v>
      </c>
      <c r="E8" s="359">
        <v>4.6758867440000005</v>
      </c>
      <c r="F8" s="225">
        <f>+E8/D8-1</f>
        <v>0.47053335342972868</v>
      </c>
      <c r="G8" s="354">
        <v>37.053125547557578</v>
      </c>
      <c r="H8" s="355">
        <v>50.051806463999995</v>
      </c>
      <c r="I8" s="225">
        <f>+H8/G8-1</f>
        <v>0.35081199559693421</v>
      </c>
      <c r="J8" s="26"/>
      <c r="K8" s="46"/>
      <c r="L8" s="46"/>
      <c r="N8" s="57" t="s">
        <v>10</v>
      </c>
      <c r="O8" s="71">
        <f>SUM(D8,D13,D20,D21,D27,D29,D31)</f>
        <v>342.31317373119697</v>
      </c>
      <c r="P8" s="71">
        <f t="shared" ref="P8" si="0">SUM(E8,E13,E20,E21,E27,E29,E31)</f>
        <v>380.3142023991573</v>
      </c>
      <c r="Q8" s="71">
        <f>SUM(G8,G13,G20,G21,G27,G29,G31)</f>
        <v>3375.5845703275477</v>
      </c>
      <c r="R8" s="71">
        <f>SUM(H8,H13,H20,H21,H27,H29,H31)</f>
        <v>3817.4949445701245</v>
      </c>
    </row>
    <row r="9" spans="3:19" ht="20.100000000000001" customHeight="1">
      <c r="C9" s="118" t="s">
        <v>18</v>
      </c>
      <c r="D9" s="224">
        <v>281.85656001250004</v>
      </c>
      <c r="E9" s="286">
        <v>253.68201849908905</v>
      </c>
      <c r="F9" s="226">
        <f t="shared" ref="F9:F32" si="1">+E9/D9-1</f>
        <v>-9.9960566864796263E-2</v>
      </c>
      <c r="G9" s="242">
        <v>2189.2947345844468</v>
      </c>
      <c r="H9" s="286">
        <v>2355.4021699293767</v>
      </c>
      <c r="I9" s="301">
        <f t="shared" ref="I9:I32" si="2">+H9/G9-1</f>
        <v>7.5872577922432516E-2</v>
      </c>
      <c r="J9" s="26"/>
      <c r="K9" s="46"/>
      <c r="L9" s="46"/>
      <c r="N9" s="57" t="s">
        <v>9</v>
      </c>
      <c r="O9" s="322">
        <f>SUM(D9,D14,D16,D17,D19,D22,D26,D32)</f>
        <v>3887.210064038336</v>
      </c>
      <c r="P9" s="322">
        <f>SUM(E9,E14,E16,E17,E19,E22,E26,E32)</f>
        <v>3982.3199538179388</v>
      </c>
      <c r="Q9" s="322">
        <f>SUM(G9,G14,G16,G17,G19,G22,G26,G32)</f>
        <v>42004.384666482219</v>
      </c>
      <c r="R9" s="322">
        <f>SUM(H9,H14,H16,H17,H19,H22,H26,H32)</f>
        <v>46249.104076295924</v>
      </c>
    </row>
    <row r="10" spans="3:19" ht="20.100000000000001" customHeight="1">
      <c r="C10" s="119" t="s">
        <v>19</v>
      </c>
      <c r="D10" s="351">
        <v>2.8088219999999997</v>
      </c>
      <c r="E10" s="317">
        <v>3.0519786</v>
      </c>
      <c r="F10" s="226">
        <f t="shared" si="1"/>
        <v>8.6568889021803486E-2</v>
      </c>
      <c r="G10" s="242">
        <v>43.870447175149572</v>
      </c>
      <c r="H10" s="286">
        <v>44.095410599999994</v>
      </c>
      <c r="I10" s="226">
        <f t="shared" si="2"/>
        <v>5.1279036193150329E-3</v>
      </c>
      <c r="J10" s="26"/>
      <c r="K10" s="46"/>
      <c r="L10" s="46"/>
      <c r="N10" s="54" t="s">
        <v>12</v>
      </c>
      <c r="O10" s="322">
        <f>SUM(D10,D11,D12,D15,D18,D24,D25,D28,D30)</f>
        <v>628.41682213056072</v>
      </c>
      <c r="P10" s="322">
        <f t="shared" ref="P10" si="3">SUM(E10,E11,E12,E15,E18,E24,E25,E28,E30)</f>
        <v>586.03352081976311</v>
      </c>
      <c r="Q10" s="322">
        <f>SUM(G10,G11,G12,G15,G18,G24,G25,G28,G30)</f>
        <v>6851.9023329261545</v>
      </c>
      <c r="R10" s="322">
        <f>SUM(H10,H11,H12,H15,H18,H24,H25,H28,H30)</f>
        <v>6894.3623377652366</v>
      </c>
    </row>
    <row r="11" spans="3:19" ht="20.100000000000001" customHeight="1">
      <c r="C11" s="118" t="s">
        <v>20</v>
      </c>
      <c r="D11" s="224">
        <v>100.79540894639402</v>
      </c>
      <c r="E11" s="286">
        <v>100.90552755642985</v>
      </c>
      <c r="F11" s="301">
        <f t="shared" si="1"/>
        <v>1.0924962871512456E-3</v>
      </c>
      <c r="G11" s="242">
        <v>1251.9984130393918</v>
      </c>
      <c r="H11" s="286">
        <v>1217.9050795412666</v>
      </c>
      <c r="I11" s="226">
        <f t="shared" si="2"/>
        <v>-2.7231131559791066E-2</v>
      </c>
      <c r="J11" s="26"/>
      <c r="K11" s="46"/>
      <c r="L11" s="46"/>
      <c r="N11" s="323" t="s">
        <v>11</v>
      </c>
      <c r="O11" s="71">
        <f>D23</f>
        <v>34.955862716481846</v>
      </c>
      <c r="P11" s="71">
        <f t="shared" ref="P11" si="4">E23</f>
        <v>34.897501823333329</v>
      </c>
      <c r="Q11" s="71">
        <f>G23</f>
        <v>502.59574066001232</v>
      </c>
      <c r="R11" s="71">
        <f>H23</f>
        <v>409.54382915600002</v>
      </c>
    </row>
    <row r="12" spans="3:19" ht="20.100000000000001" customHeight="1">
      <c r="C12" s="118" t="s">
        <v>21</v>
      </c>
      <c r="D12" s="351">
        <v>1.004974</v>
      </c>
      <c r="E12" s="317">
        <v>0.89892774999999991</v>
      </c>
      <c r="F12" s="226">
        <f t="shared" si="1"/>
        <v>-0.10552138662293764</v>
      </c>
      <c r="G12" s="350">
        <v>11.465155733612193</v>
      </c>
      <c r="H12" s="317">
        <v>10.386401749999999</v>
      </c>
      <c r="I12" s="226">
        <f t="shared" si="2"/>
        <v>-9.4089780259122846E-2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24">
        <v>126.75631986459267</v>
      </c>
      <c r="E13" s="286">
        <v>145.3875608570001</v>
      </c>
      <c r="F13" s="226">
        <f t="shared" si="1"/>
        <v>0.14698471060307083</v>
      </c>
      <c r="G13" s="242">
        <v>1035.9980245839054</v>
      </c>
      <c r="H13" s="286">
        <v>1447.1217825329954</v>
      </c>
      <c r="I13" s="226">
        <f t="shared" si="2"/>
        <v>0.39683836087835433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24">
        <v>258.84058646531076</v>
      </c>
      <c r="E14" s="286">
        <v>272.36238767331088</v>
      </c>
      <c r="F14" s="226">
        <f t="shared" si="1"/>
        <v>5.2239880123329474E-2</v>
      </c>
      <c r="G14" s="242">
        <v>2711.1847205837289</v>
      </c>
      <c r="H14" s="286">
        <v>3161.0123421042294</v>
      </c>
      <c r="I14" s="226">
        <f t="shared" si="2"/>
        <v>0.16591551955325667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24">
        <v>198.64986506666671</v>
      </c>
      <c r="E15" s="286">
        <v>198.88447486666664</v>
      </c>
      <c r="F15" s="226">
        <f t="shared" si="1"/>
        <v>1.1810216932248707E-3</v>
      </c>
      <c r="G15" s="242">
        <v>1952.2733964280001</v>
      </c>
      <c r="H15" s="286">
        <v>2053.3980679923029</v>
      </c>
      <c r="I15" s="348">
        <f t="shared" si="2"/>
        <v>5.1798417040014311E-2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24">
        <v>798.77824102451984</v>
      </c>
      <c r="E16" s="286">
        <v>909.40861976894178</v>
      </c>
      <c r="F16" s="226">
        <f t="shared" si="1"/>
        <v>0.13849948967378789</v>
      </c>
      <c r="G16" s="242">
        <v>10058.911374814288</v>
      </c>
      <c r="H16" s="286">
        <v>10202.971425773238</v>
      </c>
      <c r="I16" s="301">
        <f t="shared" si="2"/>
        <v>1.4321634378810622E-2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24">
        <v>230.83420313333335</v>
      </c>
      <c r="E17" s="286">
        <v>298.74902599315215</v>
      </c>
      <c r="F17" s="226">
        <f t="shared" si="1"/>
        <v>0.29421473047731217</v>
      </c>
      <c r="G17" s="242">
        <v>2169.8995551279991</v>
      </c>
      <c r="H17" s="286">
        <v>2432.4148328754827</v>
      </c>
      <c r="I17" s="301">
        <f t="shared" si="2"/>
        <v>0.12098038230714248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24">
        <v>131.79750606666664</v>
      </c>
      <c r="E18" s="286">
        <v>103.59825356666668</v>
      </c>
      <c r="F18" s="226">
        <f t="shared" si="1"/>
        <v>-0.21395892336336042</v>
      </c>
      <c r="G18" s="242">
        <v>1660.1484597999997</v>
      </c>
      <c r="H18" s="286">
        <v>1671.8490817300003</v>
      </c>
      <c r="I18" s="226">
        <f t="shared" si="2"/>
        <v>7.0479371052214468E-3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24">
        <v>236.45818006666664</v>
      </c>
      <c r="E19" s="286">
        <v>333.60478021666654</v>
      </c>
      <c r="F19" s="226">
        <f t="shared" si="1"/>
        <v>0.41084051362744378</v>
      </c>
      <c r="G19" s="242">
        <v>2750.5437600475007</v>
      </c>
      <c r="H19" s="286">
        <v>3126.4203463969211</v>
      </c>
      <c r="I19" s="301">
        <f t="shared" si="2"/>
        <v>0.13665537404245098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24">
        <v>75.529285465133952</v>
      </c>
      <c r="E20" s="286">
        <v>102.06918505193394</v>
      </c>
      <c r="F20" s="301">
        <f t="shared" si="1"/>
        <v>0.35138555096024859</v>
      </c>
      <c r="G20" s="242">
        <v>793.09604687388924</v>
      </c>
      <c r="H20" s="286">
        <v>736.91803959934748</v>
      </c>
      <c r="I20" s="226">
        <f t="shared" si="2"/>
        <v>-7.0833800642401412E-2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51">
        <v>4.8259257666666677</v>
      </c>
      <c r="E21" s="317">
        <v>5.0910858750000019</v>
      </c>
      <c r="F21" s="226">
        <f t="shared" si="1"/>
        <v>5.4944920654360629E-2</v>
      </c>
      <c r="G21" s="242">
        <v>59.200636950000018</v>
      </c>
      <c r="H21" s="286">
        <v>61.665760235833346</v>
      </c>
      <c r="I21" s="226">
        <f t="shared" si="2"/>
        <v>4.164014802603111E-2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24">
        <v>2005.5894470026719</v>
      </c>
      <c r="E22" s="286">
        <v>1822.4932102464647</v>
      </c>
      <c r="F22" s="226">
        <f t="shared" si="1"/>
        <v>-9.1292979742111369E-2</v>
      </c>
      <c r="G22" s="242">
        <v>21166.477847324259</v>
      </c>
      <c r="H22" s="286">
        <v>23848.312728804794</v>
      </c>
      <c r="I22" s="226">
        <f t="shared" si="2"/>
        <v>0.12670199080002154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351">
        <v>34.955862716481846</v>
      </c>
      <c r="E23" s="317">
        <v>34.897501823333329</v>
      </c>
      <c r="F23" s="226">
        <f t="shared" si="1"/>
        <v>-1.6695595134317287E-3</v>
      </c>
      <c r="G23" s="242">
        <v>502.59574066001232</v>
      </c>
      <c r="H23" s="286">
        <v>409.54382915600002</v>
      </c>
      <c r="I23" s="226">
        <f t="shared" si="2"/>
        <v>-0.18514265835563171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64">
        <v>0.300095</v>
      </c>
      <c r="E24" s="365">
        <v>0.15300259999999999</v>
      </c>
      <c r="F24" s="226">
        <f t="shared" si="1"/>
        <v>-0.49015278495143211</v>
      </c>
      <c r="G24" s="242">
        <v>6.4997380000000007</v>
      </c>
      <c r="H24" s="286">
        <v>2.0227787825000001</v>
      </c>
      <c r="I24" s="301">
        <f t="shared" si="2"/>
        <v>-0.68879072010287179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24">
        <v>65.498291333333341</v>
      </c>
      <c r="E25" s="286">
        <v>71.631008717499981</v>
      </c>
      <c r="F25" s="226">
        <f t="shared" si="1"/>
        <v>9.3631715565770435E-2</v>
      </c>
      <c r="G25" s="242">
        <v>709.50671699999998</v>
      </c>
      <c r="H25" s="286">
        <v>752.49717659416683</v>
      </c>
      <c r="I25" s="226">
        <f t="shared" si="2"/>
        <v>6.059204030645815E-2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24">
        <v>70.60047800000001</v>
      </c>
      <c r="E26" s="286">
        <v>88.337606374480004</v>
      </c>
      <c r="F26" s="226">
        <f t="shared" si="1"/>
        <v>0.251232411974321</v>
      </c>
      <c r="G26" s="242">
        <v>862.87061099999994</v>
      </c>
      <c r="H26" s="286">
        <v>883.20062804188024</v>
      </c>
      <c r="I26" s="226">
        <f t="shared" si="2"/>
        <v>2.3560910271725799E-2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24">
        <v>127.69340398272801</v>
      </c>
      <c r="E27" s="286">
        <v>118.86061248833867</v>
      </c>
      <c r="F27" s="226">
        <f t="shared" si="1"/>
        <v>-6.917186964163069E-2</v>
      </c>
      <c r="G27" s="242">
        <v>1391.6850293721955</v>
      </c>
      <c r="H27" s="286">
        <v>1463.3593773550638</v>
      </c>
      <c r="I27" s="226">
        <f t="shared" si="2"/>
        <v>5.1501845942254265E-2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24">
        <v>114.27110171750002</v>
      </c>
      <c r="E28" s="286">
        <v>92.706936084999953</v>
      </c>
      <c r="F28" s="226">
        <f t="shared" si="1"/>
        <v>-0.18871057781354728</v>
      </c>
      <c r="G28" s="242">
        <v>1058.49641675</v>
      </c>
      <c r="H28" s="286">
        <v>984.42484922249992</v>
      </c>
      <c r="I28" s="226">
        <f t="shared" si="2"/>
        <v>-6.997809945821909E-2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351">
        <v>3.2279689999999994</v>
      </c>
      <c r="E29" s="317">
        <v>3.1293233828845697</v>
      </c>
      <c r="F29" s="226">
        <f t="shared" si="1"/>
        <v>-3.0559654419057281E-2</v>
      </c>
      <c r="G29" s="242">
        <v>45.345130999999995</v>
      </c>
      <c r="H29" s="286">
        <v>45.171602382884565</v>
      </c>
      <c r="I29" s="301">
        <f t="shared" si="2"/>
        <v>-3.826841234959244E-3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24">
        <v>13.290758</v>
      </c>
      <c r="E30" s="286">
        <v>14.2034110775</v>
      </c>
      <c r="F30" s="348">
        <f t="shared" si="1"/>
        <v>6.8668248831255552E-2</v>
      </c>
      <c r="G30" s="242">
        <v>157.64358900000002</v>
      </c>
      <c r="H30" s="286">
        <v>157.78349155250004</v>
      </c>
      <c r="I30" s="226">
        <f t="shared" si="2"/>
        <v>8.8746109745074797E-4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24">
        <v>1.1005480000000003</v>
      </c>
      <c r="E31" s="286">
        <v>1.1005480000000003</v>
      </c>
      <c r="F31" s="301">
        <f>+E31/D31-1</f>
        <v>0</v>
      </c>
      <c r="G31" s="242">
        <v>13.206576000000007</v>
      </c>
      <c r="H31" s="286">
        <v>13.206576000000007</v>
      </c>
      <c r="I31" s="226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8">
        <v>4.2523683333333331</v>
      </c>
      <c r="E32" s="287">
        <v>3.6823050458333331</v>
      </c>
      <c r="F32" s="227">
        <f t="shared" si="1"/>
        <v>-0.13405783385023484</v>
      </c>
      <c r="G32" s="243">
        <v>95.202062999999981</v>
      </c>
      <c r="H32" s="287">
        <v>239.36960237000002</v>
      </c>
      <c r="I32" s="227">
        <f t="shared" si="2"/>
        <v>1.5143320935177642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4" t="s">
        <v>108</v>
      </c>
      <c r="D33" s="111">
        <f>SUM(D8:D32)</f>
        <v>4892.8959226165753</v>
      </c>
      <c r="E33" s="288">
        <f>SUM(E8:E32)</f>
        <v>4983.5651788601926</v>
      </c>
      <c r="F33" s="116">
        <f>+E33/D33-1</f>
        <v>1.8530796010704842E-2</v>
      </c>
      <c r="G33" s="244">
        <f>SUM(G8:G32)</f>
        <v>52734.467310395921</v>
      </c>
      <c r="H33" s="288">
        <f>SUM(H8:H32)</f>
        <v>57370.505187787283</v>
      </c>
      <c r="I33" s="245">
        <f>+H33/G33-1</f>
        <v>8.7912860674282944E-2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2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1822.4932102464647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909.40861976894178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333.60478021666654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298.74902599315215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59</v>
      </c>
      <c r="O48" s="53">
        <v>272.36238767331088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18</v>
      </c>
      <c r="O49" s="53">
        <v>253.68201849908905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198.88447486666664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145.3875608570001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35</v>
      </c>
      <c r="O52" s="53">
        <v>118.86061248833867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103.59825356666668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102.06918505193394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20</v>
      </c>
      <c r="O55" s="52">
        <v>100.90552755642985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92.706936084999953</v>
      </c>
      <c r="P56" s="8"/>
      <c r="S56" s="91"/>
    </row>
    <row r="57" spans="3:19">
      <c r="N57" s="51" t="s">
        <v>34</v>
      </c>
      <c r="O57" s="52">
        <v>88.337606374480004</v>
      </c>
      <c r="S57" s="91"/>
    </row>
    <row r="58" spans="3:19">
      <c r="N58" s="51" t="s">
        <v>33</v>
      </c>
      <c r="O58" s="52">
        <v>71.631008717499981</v>
      </c>
      <c r="S58" s="121"/>
    </row>
    <row r="59" spans="3:19">
      <c r="N59" s="51" t="s">
        <v>31</v>
      </c>
      <c r="O59" s="52">
        <v>34.897501823333329</v>
      </c>
      <c r="S59" s="91"/>
    </row>
    <row r="60" spans="3:19">
      <c r="N60" s="51" t="s">
        <v>38</v>
      </c>
      <c r="O60" s="52">
        <v>14.2034110775</v>
      </c>
      <c r="S60" s="91"/>
    </row>
    <row r="61" spans="3:19">
      <c r="N61" s="51" t="s">
        <v>29</v>
      </c>
      <c r="O61" s="52">
        <v>5.0910858750000019</v>
      </c>
      <c r="S61" s="91"/>
    </row>
    <row r="62" spans="3:19">
      <c r="N62" s="51" t="s">
        <v>17</v>
      </c>
      <c r="O62" s="52">
        <v>4.6758867440000005</v>
      </c>
      <c r="S62" s="91"/>
    </row>
    <row r="63" spans="3:19">
      <c r="N63" s="50" t="s">
        <v>40</v>
      </c>
      <c r="O63" s="53">
        <v>3.6823050458333331</v>
      </c>
      <c r="S63" s="91"/>
    </row>
    <row r="64" spans="3:19">
      <c r="N64" s="50" t="s">
        <v>37</v>
      </c>
      <c r="O64" s="53">
        <v>3.1293233828845697</v>
      </c>
      <c r="S64" s="91"/>
    </row>
    <row r="65" spans="6:19">
      <c r="N65" s="50" t="s">
        <v>19</v>
      </c>
      <c r="O65" s="53">
        <v>3.0519786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0.89892774999999991</v>
      </c>
      <c r="S67" s="91"/>
    </row>
    <row r="68" spans="6:19">
      <c r="N68" s="9" t="s">
        <v>32</v>
      </c>
      <c r="O68" s="52">
        <v>0.15300259999999999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2022-01-14T20:08:14Z</dcterms:modified>
</cp:coreProperties>
</file>